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autoCompressPictures="0"/>
  <xr:revisionPtr revIDLastSave="0" documentId="8_{94583659-D150-45D9-92E1-9A9D06FDCC1F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oční kalendář svozu" sheetId="1" r:id="rId1"/>
  </sheets>
  <definedNames>
    <definedName name="Ne1Bře">DATE(RokKalendáře,3,1)-WEEKDAY(DATE(RokKalendáře,3,1))+1</definedName>
    <definedName name="Ne1Čer">DATE(RokKalendáře,6,1)-WEEKDAY(DATE(RokKalendáře,6,1))+1</definedName>
    <definedName name="Ne1Čvc">DATE(RokKalendáře,7,1)-WEEKDAY(DATE(RokKalendáře,7,1))+1</definedName>
    <definedName name="Ne1Dub">DATE(RokKalendáře,4,1)-WEEKDAY(DATE(RokKalendáře,4,1))+1</definedName>
    <definedName name="Ne1Kvě">DATE(RokKalendáře,5,1)-WEEKDAY(DATE(RokKalendáře,5,1))+1</definedName>
    <definedName name="Ne1Led">DATE(RokKalendáře,1,1)-WEEKDAY(DATE(RokKalendáře,1,1))+1</definedName>
    <definedName name="Ne1Lis">DATE(RokKalendáře,11,1)-WEEKDAY(DATE(RokKalendáře,11,1))+1</definedName>
    <definedName name="Ne1Pro">DATE(RokKalendáře,12,1)-WEEKDAY(DATE(RokKalendáře,12,1))+1</definedName>
    <definedName name="Ne1Říj">DATE(RokKalendáře,10,1)-WEEKDAY(DATE(RokKalendáře,10,1))+1</definedName>
    <definedName name="Ne1Srp">DATE(RokKalendáře,8,1)-WEEKDAY(DATE(RokKalendáře,8,1))+1</definedName>
    <definedName name="Ne1Úno">DATE(RokKalendáře,2,1)-WEEKDAY(DATE(RokKalendáře,2,1))+1</definedName>
    <definedName name="Ne1Zář">DATE(RokKalendáře,9,1)-WEEKDAY(DATE(RokKalendáře,9,1))+1</definedName>
    <definedName name="_xlnm.Print_Area" localSheetId="0">'Roční kalendář svozu'!$B$2:$AD$122</definedName>
    <definedName name="RokKalendáře">'Roční kalendář svozu'!$K$2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K6" i="1"/>
  <c r="L6" i="1"/>
  <c r="M6" i="1"/>
  <c r="N6" i="1"/>
  <c r="F18" i="1"/>
  <c r="K66" i="1"/>
  <c r="L118" i="1" l="1"/>
  <c r="K118" i="1"/>
  <c r="J118" i="1"/>
  <c r="P115" i="1"/>
  <c r="O115" i="1"/>
  <c r="L115" i="1"/>
  <c r="K115" i="1"/>
  <c r="J115" i="1"/>
  <c r="P112" i="1"/>
  <c r="O112" i="1"/>
  <c r="L112" i="1"/>
  <c r="K112" i="1"/>
  <c r="J112" i="1"/>
  <c r="P109" i="1"/>
  <c r="O109" i="1"/>
  <c r="L109" i="1"/>
  <c r="K109" i="1"/>
  <c r="J109" i="1"/>
  <c r="P106" i="1"/>
  <c r="O106" i="1"/>
  <c r="N106" i="1"/>
  <c r="M106" i="1"/>
  <c r="L106" i="1"/>
  <c r="K106" i="1"/>
  <c r="J106" i="1"/>
  <c r="H118" i="1"/>
  <c r="D118" i="1"/>
  <c r="C118" i="1"/>
  <c r="B118" i="1"/>
  <c r="H115" i="1"/>
  <c r="D115" i="1"/>
  <c r="C115" i="1"/>
  <c r="B115" i="1"/>
  <c r="H112" i="1"/>
  <c r="D112" i="1"/>
  <c r="C112" i="1"/>
  <c r="B112" i="1"/>
  <c r="H109" i="1"/>
  <c r="D109" i="1"/>
  <c r="C109" i="1"/>
  <c r="B109" i="1"/>
  <c r="H106" i="1"/>
  <c r="G106" i="1"/>
  <c r="F106" i="1"/>
  <c r="E106" i="1"/>
  <c r="D106" i="1"/>
  <c r="C106" i="1"/>
  <c r="B106" i="1"/>
  <c r="L100" i="1"/>
  <c r="K100" i="1"/>
  <c r="J100" i="1"/>
  <c r="P97" i="1"/>
  <c r="O97" i="1"/>
  <c r="L97" i="1"/>
  <c r="K97" i="1"/>
  <c r="J97" i="1"/>
  <c r="P94" i="1"/>
  <c r="O94" i="1"/>
  <c r="L94" i="1"/>
  <c r="K94" i="1"/>
  <c r="J94" i="1"/>
  <c r="P91" i="1"/>
  <c r="O91" i="1"/>
  <c r="L91" i="1"/>
  <c r="K91" i="1"/>
  <c r="J91" i="1"/>
  <c r="P88" i="1"/>
  <c r="O88" i="1"/>
  <c r="N88" i="1"/>
  <c r="M88" i="1"/>
  <c r="L88" i="1"/>
  <c r="K88" i="1"/>
  <c r="J88" i="1"/>
  <c r="C100" i="1"/>
  <c r="B100" i="1"/>
  <c r="H97" i="1"/>
  <c r="D97" i="1"/>
  <c r="C97" i="1"/>
  <c r="B97" i="1"/>
  <c r="H94" i="1"/>
  <c r="D94" i="1"/>
  <c r="C94" i="1"/>
  <c r="B94" i="1"/>
  <c r="H91" i="1"/>
  <c r="D91" i="1"/>
  <c r="C91" i="1"/>
  <c r="B91" i="1"/>
  <c r="H88" i="1"/>
  <c r="G88" i="1"/>
  <c r="F88" i="1"/>
  <c r="E88" i="1"/>
  <c r="D88" i="1"/>
  <c r="C88" i="1"/>
  <c r="B88" i="1"/>
  <c r="P85" i="1"/>
  <c r="O85" i="1"/>
  <c r="N85" i="1"/>
  <c r="M85" i="1"/>
  <c r="L85" i="1"/>
  <c r="K85" i="1"/>
  <c r="J85" i="1"/>
  <c r="P82" i="1"/>
  <c r="O82" i="1"/>
  <c r="L82" i="1"/>
  <c r="K82" i="1"/>
  <c r="J82" i="1"/>
  <c r="P79" i="1"/>
  <c r="O79" i="1"/>
  <c r="L79" i="1"/>
  <c r="K79" i="1"/>
  <c r="J79" i="1"/>
  <c r="P76" i="1"/>
  <c r="O76" i="1"/>
  <c r="L76" i="1"/>
  <c r="K76" i="1"/>
  <c r="J76" i="1"/>
  <c r="P73" i="1"/>
  <c r="O73" i="1"/>
  <c r="L73" i="1"/>
  <c r="K73" i="1"/>
  <c r="J73" i="1"/>
  <c r="P70" i="1"/>
  <c r="O70" i="1"/>
  <c r="N70" i="1"/>
  <c r="M70" i="1"/>
  <c r="L70" i="1"/>
  <c r="K70" i="1"/>
  <c r="J70" i="1"/>
  <c r="H85" i="1"/>
  <c r="G85" i="1"/>
  <c r="F85" i="1"/>
  <c r="E85" i="1"/>
  <c r="D85" i="1"/>
  <c r="C85" i="1"/>
  <c r="B85" i="1"/>
  <c r="D82" i="1"/>
  <c r="C82" i="1"/>
  <c r="B82" i="1"/>
  <c r="H79" i="1"/>
  <c r="G79" i="1"/>
  <c r="D79" i="1"/>
  <c r="C79" i="1"/>
  <c r="B79" i="1"/>
  <c r="H76" i="1"/>
  <c r="G76" i="1"/>
  <c r="D76" i="1"/>
  <c r="C76" i="1"/>
  <c r="B76" i="1"/>
  <c r="H73" i="1"/>
  <c r="G73" i="1"/>
  <c r="D73" i="1"/>
  <c r="C73" i="1"/>
  <c r="B73" i="1"/>
  <c r="H70" i="1"/>
  <c r="G70" i="1"/>
  <c r="F70" i="1"/>
  <c r="E70" i="1"/>
  <c r="D70" i="1"/>
  <c r="C70" i="1"/>
  <c r="B70" i="1"/>
  <c r="J60" i="1"/>
  <c r="P57" i="1"/>
  <c r="O57" i="1"/>
  <c r="L57" i="1"/>
  <c r="K57" i="1"/>
  <c r="J57" i="1"/>
  <c r="P54" i="1"/>
  <c r="O54" i="1"/>
  <c r="L54" i="1"/>
  <c r="K54" i="1"/>
  <c r="J54" i="1"/>
  <c r="P51" i="1"/>
  <c r="O51" i="1"/>
  <c r="L51" i="1"/>
  <c r="K51" i="1"/>
  <c r="J51" i="1"/>
  <c r="P48" i="1"/>
  <c r="O48" i="1"/>
  <c r="N48" i="1"/>
  <c r="M48" i="1"/>
  <c r="L48" i="1"/>
  <c r="K48" i="1"/>
  <c r="J48" i="1"/>
  <c r="P45" i="1"/>
  <c r="O45" i="1"/>
  <c r="N45" i="1"/>
  <c r="M45" i="1"/>
  <c r="L45" i="1"/>
  <c r="K45" i="1"/>
  <c r="J45" i="1"/>
  <c r="H60" i="1"/>
  <c r="G60" i="1"/>
  <c r="F60" i="1"/>
  <c r="E60" i="1"/>
  <c r="D60" i="1"/>
  <c r="C60" i="1"/>
  <c r="B60" i="1"/>
  <c r="G57" i="1"/>
  <c r="D57" i="1"/>
  <c r="C57" i="1"/>
  <c r="B57" i="1"/>
  <c r="H54" i="1"/>
  <c r="G54" i="1"/>
  <c r="D54" i="1"/>
  <c r="C54" i="1"/>
  <c r="B54" i="1"/>
  <c r="H51" i="1"/>
  <c r="G51" i="1"/>
  <c r="D51" i="1"/>
  <c r="C51" i="1"/>
  <c r="B51" i="1"/>
  <c r="H48" i="1"/>
  <c r="G48" i="1"/>
  <c r="D48" i="1"/>
  <c r="C48" i="1"/>
  <c r="B48" i="1"/>
  <c r="H45" i="1"/>
  <c r="G45" i="1"/>
  <c r="F45" i="1"/>
  <c r="E45" i="1"/>
  <c r="D45" i="1"/>
  <c r="C45" i="1"/>
  <c r="B45" i="1"/>
  <c r="P39" i="1"/>
  <c r="O39" i="1"/>
  <c r="N39" i="1"/>
  <c r="M39" i="1"/>
  <c r="L39" i="1"/>
  <c r="K39" i="1"/>
  <c r="J39" i="1"/>
  <c r="L36" i="1"/>
  <c r="K36" i="1"/>
  <c r="J36" i="1"/>
  <c r="P33" i="1"/>
  <c r="O33" i="1"/>
  <c r="L33" i="1"/>
  <c r="K33" i="1"/>
  <c r="J33" i="1"/>
  <c r="P30" i="1"/>
  <c r="O30" i="1"/>
  <c r="L30" i="1"/>
  <c r="K30" i="1"/>
  <c r="J30" i="1"/>
  <c r="P27" i="1"/>
  <c r="O27" i="1"/>
  <c r="L27" i="1"/>
  <c r="K27" i="1"/>
  <c r="J27" i="1"/>
  <c r="P24" i="1"/>
  <c r="O24" i="1"/>
  <c r="N24" i="1"/>
  <c r="M24" i="1"/>
  <c r="L24" i="1"/>
  <c r="K24" i="1"/>
  <c r="J24" i="1"/>
  <c r="B39" i="1"/>
  <c r="H36" i="1"/>
  <c r="G36" i="1"/>
  <c r="D36" i="1"/>
  <c r="C36" i="1"/>
  <c r="B36" i="1"/>
  <c r="H33" i="1"/>
  <c r="G33" i="1"/>
  <c r="D33" i="1"/>
  <c r="C33" i="1"/>
  <c r="B33" i="1"/>
  <c r="H30" i="1"/>
  <c r="G30" i="1"/>
  <c r="D30" i="1"/>
  <c r="C30" i="1"/>
  <c r="B30" i="1"/>
  <c r="H27" i="1"/>
  <c r="G27" i="1"/>
  <c r="F27" i="1"/>
  <c r="E27" i="1"/>
  <c r="D27" i="1"/>
  <c r="C27" i="1"/>
  <c r="B27" i="1"/>
  <c r="H24" i="1"/>
  <c r="G24" i="1"/>
  <c r="F24" i="1"/>
  <c r="E24" i="1"/>
  <c r="D24" i="1"/>
  <c r="C24" i="1"/>
  <c r="B24" i="1"/>
  <c r="L18" i="1"/>
  <c r="K18" i="1"/>
  <c r="J18" i="1"/>
  <c r="P15" i="1"/>
  <c r="O15" i="1"/>
  <c r="L15" i="1"/>
  <c r="K15" i="1"/>
  <c r="J15" i="1"/>
  <c r="P12" i="1"/>
  <c r="O12" i="1"/>
  <c r="L12" i="1"/>
  <c r="K12" i="1"/>
  <c r="J12" i="1"/>
  <c r="P9" i="1"/>
  <c r="O9" i="1"/>
  <c r="N9" i="1"/>
  <c r="M9" i="1"/>
  <c r="L9" i="1"/>
  <c r="K9" i="1"/>
  <c r="J9" i="1"/>
  <c r="P6" i="1"/>
  <c r="O6" i="1"/>
  <c r="E18" i="1"/>
  <c r="D18" i="1"/>
  <c r="C18" i="1"/>
  <c r="B18" i="1"/>
  <c r="H15" i="1"/>
  <c r="G15" i="1"/>
  <c r="D15" i="1"/>
  <c r="C15" i="1"/>
  <c r="B15" i="1"/>
  <c r="H12" i="1"/>
  <c r="G12" i="1"/>
  <c r="D12" i="1"/>
  <c r="C12" i="1"/>
  <c r="B12" i="1"/>
  <c r="H9" i="1"/>
  <c r="G9" i="1"/>
  <c r="F9" i="1"/>
  <c r="E9" i="1"/>
  <c r="D9" i="1"/>
  <c r="C9" i="1"/>
  <c r="B9" i="1"/>
  <c r="H6" i="1"/>
  <c r="G6" i="1"/>
  <c r="F6" i="1"/>
  <c r="E6" i="1"/>
  <c r="D6" i="1"/>
  <c r="B6" i="1"/>
</calcChain>
</file>

<file path=xl/sharedStrings.xml><?xml version="1.0" encoding="utf-8"?>
<sst xmlns="http://schemas.openxmlformats.org/spreadsheetml/2006/main" count="135" uniqueCount="48">
  <si>
    <t>Popisek Březen je v buňce C12 a Duben v buňce K12.</t>
  </si>
  <si>
    <t>Tabulka březnového kalendáře je v buňkách C13 až I19 a tabulka dubnového kalendáře v buňkách K13 až Q19. Další pokyn je v buňce A21.</t>
  </si>
  <si>
    <t>Popisek Květen je v buňce C21 a Červen v buňce K21.</t>
  </si>
  <si>
    <t>Tabulka květnového kalendáře je v buňkách C22 až I28 a tabulka červnového kalendáře v buňkách K22 až Q28. Další pokyn je v buňce A30.</t>
  </si>
  <si>
    <t>Popisek Červenec je v buňce C30 a Srpen v buňce K30.</t>
  </si>
  <si>
    <t>Tabulka červencového kalendáře je v buňkách C31 až I37 a tabulka srpnového kalendáře v buňkách K31 až Q37. Další pokyn je v buňce A39.</t>
  </si>
  <si>
    <t>Popisek Září je v buňce C39 a Říjen v buňce K39.</t>
  </si>
  <si>
    <t>Tabulka zářijového kalendáře je v buňkách C40 až I46 a tabulka říjnového kalendáře v buňkách K40 až Q46. Další pokyn je v buňce A44.</t>
  </si>
  <si>
    <t>Do buňky U44 zadejte ulici a číslo domu.</t>
  </si>
  <si>
    <t>Do buňky U45 zadejte město a PSČ. Další pokyn je v buňce A47.</t>
  </si>
  <si>
    <t>Do buňky U47 zadejte telefonní číslo společnosti.</t>
  </si>
  <si>
    <t>Popisek Listopad je v buňce C48 a Prosinec v buňce K48. Do buňky U48 zadejte e-mailovou adresu.</t>
  </si>
  <si>
    <t>Tabulka listopadového kalendáře je v buňkách C49 až I55 a tabulka prosincového kalendáře v buňkách K49 až Q55. Další pokyn je v buňce A51.</t>
  </si>
  <si>
    <t>Do buňky U51 přidejte logo společnosti.</t>
  </si>
  <si>
    <t>LEDEN</t>
  </si>
  <si>
    <t>PO</t>
  </si>
  <si>
    <t>BŘEZEN</t>
  </si>
  <si>
    <t>KVĚTEN</t>
  </si>
  <si>
    <t>ČERVENEC</t>
  </si>
  <si>
    <t>ZÁŘÍ</t>
  </si>
  <si>
    <t>LISTOPAD</t>
  </si>
  <si>
    <t>ÚT</t>
  </si>
  <si>
    <t>ST</t>
  </si>
  <si>
    <t>ČT</t>
  </si>
  <si>
    <t>PÁ</t>
  </si>
  <si>
    <t>SO</t>
  </si>
  <si>
    <t>NE</t>
  </si>
  <si>
    <t>ÚNOR</t>
  </si>
  <si>
    <t>DUBEN</t>
  </si>
  <si>
    <t>ČERVEN</t>
  </si>
  <si>
    <t>SRPEN</t>
  </si>
  <si>
    <t>ŘÍJEN</t>
  </si>
  <si>
    <t>PROSINEC</t>
  </si>
  <si>
    <t>Informace ke svozům</t>
  </si>
  <si>
    <t xml:space="preserve"> SVOZOVÝ
 KALENDÁŘ</t>
  </si>
  <si>
    <t>Pomocí číselníku změna kalendářního roku</t>
  </si>
  <si>
    <t>A,D</t>
  </si>
  <si>
    <t>B,C</t>
  </si>
  <si>
    <t>Plasty úterý 1x za měsíc</t>
  </si>
  <si>
    <t>Papír úterý 1 x za 6 týdnů</t>
  </si>
  <si>
    <t xml:space="preserve">Horní Město </t>
  </si>
  <si>
    <t xml:space="preserve"> sklo na zavolání</t>
  </si>
  <si>
    <t>kovy na zavolání</t>
  </si>
  <si>
    <t>Směsný komunální odpad</t>
  </si>
  <si>
    <r>
      <t xml:space="preserve"> úterý </t>
    </r>
    <r>
      <rPr>
        <b/>
        <sz val="10"/>
        <rFont val="Calibri"/>
        <family val="2"/>
        <charset val="238"/>
        <scheme val="minor"/>
      </rPr>
      <t>1x za 14 dní sudý týden</t>
    </r>
  </si>
  <si>
    <t>POZOR ZMĚNA</t>
  </si>
  <si>
    <t xml:space="preserve">při poruše vozu svezeme daný odpad </t>
  </si>
  <si>
    <t xml:space="preserve">nejpozději druhý 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</si>
</sst>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(* #,##0_);_(* \(#,##0\);_(* &quot;-&quot;_);_(@_)"/>
    <numFmt numFmtId="165" formatCode="_(* #,##0.00_);_(* \(#,##0.00\);_(* &quot;-&quot;??_);_(@_)"/>
    <numFmt numFmtId="166" formatCode=";;;"/>
    <numFmt numFmtId="167" formatCode="dd"/>
  </numFmts>
  <fonts count="50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ajor"/>
    </font>
    <font>
      <b/>
      <sz val="26"/>
      <color theme="0"/>
      <name val="Calibri"/>
      <family val="2"/>
      <scheme val="maj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ajor"/>
    </font>
    <font>
      <sz val="8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26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scheme val="maj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 diagonalUp="1"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 style="thin">
        <color rgb="FF0070C0"/>
      </diagonal>
    </border>
    <border diagonalUp="1">
      <left style="thin">
        <color rgb="FF0070C0"/>
      </left>
      <right style="thin">
        <color rgb="FF0070C0"/>
      </right>
      <top style="thin">
        <color rgb="FF0070C0"/>
      </top>
      <bottom/>
      <diagonal style="thin">
        <color rgb="FF0070C0"/>
      </diagonal>
    </border>
    <border diagonalUp="1">
      <left style="thin">
        <color rgb="FF0070C0"/>
      </left>
      <right style="thin">
        <color rgb="FF0070C0"/>
      </right>
      <top/>
      <bottom style="thin">
        <color rgb="FF0070C0"/>
      </bottom>
      <diagonal style="thin">
        <color rgb="FF0070C0"/>
      </diagonal>
    </border>
  </borders>
  <cellStyleXfs count="48">
    <xf numFmtId="0" fontId="0" fillId="0" borderId="0"/>
    <xf numFmtId="0" fontId="13" fillId="0" borderId="1" applyNumberFormat="0" applyFill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4" applyNumberFormat="0" applyAlignment="0" applyProtection="0"/>
    <xf numFmtId="0" fontId="24" fillId="6" borderId="5" applyNumberFormat="0" applyAlignment="0" applyProtection="0"/>
    <xf numFmtId="0" fontId="25" fillId="6" borderId="4" applyNumberFormat="0" applyAlignment="0" applyProtection="0"/>
    <xf numFmtId="0" fontId="26" fillId="0" borderId="6" applyNumberFormat="0" applyFill="0" applyAlignment="0" applyProtection="0"/>
    <xf numFmtId="0" fontId="27" fillId="7" borderId="7" applyNumberFormat="0" applyAlignment="0" applyProtection="0"/>
    <xf numFmtId="0" fontId="28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29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49" fontId="0" fillId="0" borderId="0" xfId="0" applyNumberFormat="1" applyAlignment="1">
      <alignment horizontal="left"/>
    </xf>
    <xf numFmtId="49" fontId="9" fillId="0" borderId="0" xfId="0" applyNumberFormat="1" applyFont="1" applyAlignment="1">
      <alignment horizontal="left"/>
    </xf>
    <xf numFmtId="0" fontId="8" fillId="0" borderId="0" xfId="0" applyFont="1"/>
    <xf numFmtId="49" fontId="1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166" fontId="0" fillId="0" borderId="0" xfId="0" applyNumberFormat="1" applyAlignment="1">
      <alignment wrapText="1"/>
    </xf>
    <xf numFmtId="166" fontId="3" fillId="0" borderId="0" xfId="0" applyNumberFormat="1" applyFont="1" applyAlignment="1">
      <alignment vertical="center"/>
    </xf>
    <xf numFmtId="166" fontId="0" fillId="0" borderId="0" xfId="0" applyNumberFormat="1"/>
    <xf numFmtId="0" fontId="11" fillId="0" borderId="0" xfId="0" applyFont="1" applyAlignment="1">
      <alignment horizontal="left" vertical="center" indent="2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67" fontId="0" fillId="0" borderId="0" xfId="0" applyNumberFormat="1" applyAlignment="1">
      <alignment horizontal="center"/>
    </xf>
    <xf numFmtId="0" fontId="0" fillId="33" borderId="0" xfId="0" applyFill="1"/>
    <xf numFmtId="0" fontId="6" fillId="33" borderId="0" xfId="0" applyFont="1" applyFill="1" applyAlignment="1">
      <alignment vertical="center"/>
    </xf>
    <xf numFmtId="0" fontId="7" fillId="33" borderId="0" xfId="0" applyFont="1" applyFill="1"/>
    <xf numFmtId="49" fontId="32" fillId="0" borderId="0" xfId="47" applyNumberFormat="1" applyFont="1" applyAlignment="1">
      <alignment horizontal="left"/>
    </xf>
    <xf numFmtId="14" fontId="34" fillId="0" borderId="0" xfId="0" applyNumberFormat="1" applyFont="1" applyAlignment="1">
      <alignment horizontal="center"/>
    </xf>
    <xf numFmtId="0" fontId="35" fillId="33" borderId="0" xfId="0" applyFont="1" applyFill="1" applyAlignment="1">
      <alignment horizontal="left" vertic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6" fillId="0" borderId="0" xfId="0" applyFont="1" applyAlignment="1">
      <alignment horizontal="left" vertical="center"/>
    </xf>
    <xf numFmtId="167" fontId="34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indent="2"/>
    </xf>
    <xf numFmtId="0" fontId="0" fillId="0" borderId="14" xfId="0" applyBorder="1"/>
    <xf numFmtId="0" fontId="0" fillId="36" borderId="15" xfId="0" applyFill="1" applyBorder="1"/>
    <xf numFmtId="0" fontId="34" fillId="0" borderId="0" xfId="0" applyFont="1" applyAlignment="1">
      <alignment vertical="top" wrapText="1"/>
    </xf>
    <xf numFmtId="0" fontId="33" fillId="34" borderId="10" xfId="0" applyFont="1" applyFill="1" applyBorder="1" applyAlignment="1">
      <alignment horizontal="center"/>
    </xf>
    <xf numFmtId="0" fontId="38" fillId="0" borderId="0" xfId="0" applyFont="1" applyAlignment="1">
      <alignment vertical="top" wrapText="1"/>
    </xf>
    <xf numFmtId="0" fontId="34" fillId="0" borderId="0" xfId="0" applyFont="1"/>
    <xf numFmtId="0" fontId="40" fillId="34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1" fillId="0" borderId="0" xfId="0" applyFont="1"/>
    <xf numFmtId="49" fontId="14" fillId="34" borderId="10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43" fillId="0" borderId="0" xfId="0" applyFont="1"/>
    <xf numFmtId="49" fontId="2" fillId="0" borderId="0" xfId="0" applyNumberFormat="1" applyFont="1" applyAlignment="1">
      <alignment horizontal="left"/>
    </xf>
    <xf numFmtId="49" fontId="44" fillId="0" borderId="0" xfId="0" applyNumberFormat="1" applyFont="1" applyAlignment="1">
      <alignment horizontal="left"/>
    </xf>
    <xf numFmtId="49" fontId="45" fillId="0" borderId="0" xfId="0" applyNumberFormat="1" applyFont="1" applyAlignment="1">
      <alignment horizontal="left"/>
    </xf>
    <xf numFmtId="49" fontId="46" fillId="0" borderId="0" xfId="0" applyNumberFormat="1" applyFont="1"/>
    <xf numFmtId="14" fontId="2" fillId="0" borderId="0" xfId="0" applyNumberFormat="1" applyFont="1"/>
    <xf numFmtId="49" fontId="40" fillId="35" borderId="10" xfId="0" applyNumberFormat="1" applyFont="1" applyFill="1" applyBorder="1" applyAlignment="1">
      <alignment horizontal="center"/>
    </xf>
    <xf numFmtId="0" fontId="37" fillId="0" borderId="0" xfId="0" applyFont="1"/>
    <xf numFmtId="0" fontId="15" fillId="33" borderId="0" xfId="0" applyFont="1" applyFill="1" applyAlignment="1">
      <alignment horizontal="left" vertical="center"/>
    </xf>
    <xf numFmtId="49" fontId="12" fillId="35" borderId="10" xfId="0" applyNumberFormat="1" applyFont="1" applyFill="1" applyBorder="1" applyAlignment="1">
      <alignment horizontal="left"/>
    </xf>
    <xf numFmtId="49" fontId="0" fillId="34" borderId="10" xfId="0" applyNumberFormat="1" applyFill="1" applyBorder="1" applyAlignment="1">
      <alignment horizontal="left"/>
    </xf>
    <xf numFmtId="167" fontId="0" fillId="0" borderId="10" xfId="0" applyNumberFormat="1" applyBorder="1" applyAlignment="1">
      <alignment horizontal="center"/>
    </xf>
    <xf numFmtId="0" fontId="47" fillId="34" borderId="10" xfId="0" applyFont="1" applyFill="1" applyBorder="1" applyAlignment="1">
      <alignment horizontal="center"/>
    </xf>
    <xf numFmtId="0" fontId="7" fillId="36" borderId="0" xfId="0" applyFont="1" applyFill="1"/>
    <xf numFmtId="0" fontId="14" fillId="34" borderId="10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49" fontId="40" fillId="0" borderId="10" xfId="0" applyNumberFormat="1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49" fontId="12" fillId="37" borderId="10" xfId="0" applyNumberFormat="1" applyFont="1" applyFill="1" applyBorder="1" applyAlignment="1">
      <alignment horizontal="left"/>
    </xf>
    <xf numFmtId="167" fontId="2" fillId="37" borderId="12" xfId="0" applyNumberFormat="1" applyFont="1" applyFill="1" applyBorder="1" applyAlignment="1">
      <alignment horizontal="center"/>
    </xf>
    <xf numFmtId="167" fontId="2" fillId="37" borderId="11" xfId="0" applyNumberFormat="1" applyFont="1" applyFill="1" applyBorder="1" applyAlignment="1">
      <alignment horizontal="center"/>
    </xf>
    <xf numFmtId="49" fontId="48" fillId="0" borderId="0" xfId="0" applyNumberFormat="1" applyFont="1" applyAlignment="1">
      <alignment horizontal="left"/>
    </xf>
    <xf numFmtId="0" fontId="37" fillId="0" borderId="0" xfId="0" applyFont="1" applyAlignment="1">
      <alignment horizontal="left" vertical="center"/>
    </xf>
    <xf numFmtId="167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37" fillId="38" borderId="0" xfId="0" applyFont="1" applyFill="1" applyAlignment="1">
      <alignment horizontal="center"/>
    </xf>
    <xf numFmtId="0" fontId="0" fillId="39" borderId="0" xfId="0" applyFill="1"/>
    <xf numFmtId="0" fontId="2" fillId="0" borderId="0" xfId="0" applyFont="1" applyAlignment="1">
      <alignment horizontal="left" vertical="top" wrapText="1"/>
    </xf>
    <xf numFmtId="0" fontId="36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0" fillId="0" borderId="0" xfId="0"/>
    <xf numFmtId="0" fontId="37" fillId="35" borderId="0" xfId="0" applyFont="1" applyFill="1" applyAlignment="1">
      <alignment horizontal="center"/>
    </xf>
    <xf numFmtId="0" fontId="39" fillId="0" borderId="0" xfId="0" applyFont="1" applyAlignment="1">
      <alignment horizontal="left"/>
    </xf>
    <xf numFmtId="167" fontId="2" fillId="0" borderId="17" xfId="0" applyNumberFormat="1" applyFont="1" applyBorder="1" applyAlignment="1">
      <alignment horizontal="center"/>
    </xf>
    <xf numFmtId="167" fontId="2" fillId="0" borderId="18" xfId="0" applyNumberFormat="1" applyFont="1" applyBorder="1" applyAlignment="1">
      <alignment horizontal="center"/>
    </xf>
    <xf numFmtId="167" fontId="2" fillId="0" borderId="16" xfId="0" applyNumberFormat="1" applyFont="1" applyBorder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167" fontId="2" fillId="35" borderId="10" xfId="0" applyNumberFormat="1" applyFont="1" applyFill="1" applyBorder="1" applyAlignment="1">
      <alignment horizontal="center"/>
    </xf>
    <xf numFmtId="167" fontId="27" fillId="0" borderId="10" xfId="0" applyNumberFormat="1" applyFont="1" applyBorder="1" applyAlignment="1">
      <alignment horizontal="center" vertical="center"/>
    </xf>
    <xf numFmtId="167" fontId="2" fillId="34" borderId="10" xfId="0" applyNumberFormat="1" applyFont="1" applyFill="1" applyBorder="1" applyAlignment="1">
      <alignment horizontal="center"/>
    </xf>
    <xf numFmtId="167" fontId="2" fillId="37" borderId="10" xfId="0" applyNumberFormat="1" applyFont="1" applyFill="1" applyBorder="1" applyAlignment="1">
      <alignment horizontal="center"/>
    </xf>
    <xf numFmtId="167" fontId="14" fillId="0" borderId="10" xfId="0" applyNumberFormat="1" applyFont="1" applyBorder="1" applyAlignment="1">
      <alignment horizontal="center" vertical="center"/>
    </xf>
    <xf numFmtId="0" fontId="39" fillId="0" borderId="0" xfId="0" applyFont="1"/>
    <xf numFmtId="167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167" fontId="2" fillId="37" borderId="11" xfId="0" applyNumberFormat="1" applyFont="1" applyFill="1" applyBorder="1" applyAlignment="1">
      <alignment horizontal="center"/>
    </xf>
    <xf numFmtId="167" fontId="2" fillId="37" borderId="12" xfId="0" applyNumberFormat="1" applyFont="1" applyFill="1" applyBorder="1" applyAlignment="1">
      <alignment horizontal="center"/>
    </xf>
    <xf numFmtId="167" fontId="2" fillId="35" borderId="11" xfId="0" applyNumberFormat="1" applyFont="1" applyFill="1" applyBorder="1" applyAlignment="1">
      <alignment horizontal="center"/>
    </xf>
    <xf numFmtId="167" fontId="2" fillId="35" borderId="12" xfId="0" applyNumberFormat="1" applyFont="1" applyFill="1" applyBorder="1" applyAlignment="1">
      <alignment horizontal="center"/>
    </xf>
    <xf numFmtId="49" fontId="42" fillId="0" borderId="0" xfId="0" applyNumberFormat="1" applyFont="1" applyAlignment="1">
      <alignment horizontal="left" vertical="top" wrapText="1"/>
    </xf>
    <xf numFmtId="49" fontId="4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7" fontId="2" fillId="34" borderId="11" xfId="0" applyNumberFormat="1" applyFont="1" applyFill="1" applyBorder="1" applyAlignment="1">
      <alignment horizontal="center"/>
    </xf>
    <xf numFmtId="167" fontId="2" fillId="34" borderId="12" xfId="0" applyNumberFormat="1" applyFont="1" applyFill="1" applyBorder="1" applyAlignment="1">
      <alignment horizontal="center"/>
    </xf>
    <xf numFmtId="0" fontId="6" fillId="33" borderId="0" xfId="0" applyFont="1" applyFill="1" applyAlignment="1">
      <alignment horizontal="left" vertical="center"/>
    </xf>
  </cellXfs>
  <cellStyles count="48">
    <cellStyle name="20 % – Zvýraznění 1" xfId="24" builtinId="30" customBuiltin="1"/>
    <cellStyle name="20 % – Zvýraznění 2" xfId="28" builtinId="34" customBuiltin="1"/>
    <cellStyle name="20 % – Zvýraznění 3" xfId="32" builtinId="38" customBuiltin="1"/>
    <cellStyle name="20 % – Zvýraznění 4" xfId="36" builtinId="42" customBuiltin="1"/>
    <cellStyle name="20 % – Zvýraznění 5" xfId="40" builtinId="46" customBuiltin="1"/>
    <cellStyle name="20 % – Zvýraznění 6" xfId="44" builtinId="50" customBuiltin="1"/>
    <cellStyle name="40 % – Zvýraznění 1" xfId="25" builtinId="31" customBuiltin="1"/>
    <cellStyle name="40 % – Zvýraznění 2" xfId="29" builtinId="35" customBuiltin="1"/>
    <cellStyle name="40 % – Zvýraznění 3" xfId="33" builtinId="39" customBuiltin="1"/>
    <cellStyle name="40 % – Zvýraznění 4" xfId="37" builtinId="43" customBuiltin="1"/>
    <cellStyle name="40 % – Zvýraznění 5" xfId="41" builtinId="47" customBuiltin="1"/>
    <cellStyle name="40 % – Zvýraznění 6" xfId="45" builtinId="51" customBuiltin="1"/>
    <cellStyle name="60 % – Zvýraznění 1" xfId="26" builtinId="32" customBuiltin="1"/>
    <cellStyle name="60 % – Zvýraznění 2" xfId="30" builtinId="36" customBuiltin="1"/>
    <cellStyle name="60 % – Zvýraznění 3" xfId="34" builtinId="40" customBuiltin="1"/>
    <cellStyle name="60 % – Zvýraznění 4" xfId="38" builtinId="44" customBuiltin="1"/>
    <cellStyle name="60 % – Zvýraznění 5" xfId="42" builtinId="48" customBuiltin="1"/>
    <cellStyle name="60 % – Zvýraznění 6" xfId="46" builtinId="52" customBuiltin="1"/>
    <cellStyle name="Celkem" xfId="22" builtinId="25" customBuiltin="1"/>
    <cellStyle name="Čárka" xfId="2" builtinId="3" customBuiltin="1"/>
    <cellStyle name="Čárky bez des. míst" xfId="3" builtinId="6" customBuiltin="1"/>
    <cellStyle name="Hypertextový odkaz" xfId="47" builtinId="8"/>
    <cellStyle name="Kontrolní buňka" xfId="18" builtinId="23" customBuiltin="1"/>
    <cellStyle name="Měna" xfId="4" builtinId="4" customBuiltin="1"/>
    <cellStyle name="Měny bez des. míst" xfId="5" builtinId="7" customBuiltin="1"/>
    <cellStyle name="Nadpis 1" xfId="8" builtinId="16" customBuiltin="1"/>
    <cellStyle name="Nadpis 2" xfId="1" builtinId="17" customBuiltin="1"/>
    <cellStyle name="Nadpis 3" xfId="9" builtinId="18" customBuiltin="1"/>
    <cellStyle name="Nadpis 4" xfId="10" builtinId="19" customBuiltin="1"/>
    <cellStyle name="Název" xfId="7" builtinId="15" customBuiltin="1"/>
    <cellStyle name="Neutrální" xfId="13" builtinId="28" customBuiltin="1"/>
    <cellStyle name="Normální" xfId="0" builtinId="0" customBuiltin="1"/>
    <cellStyle name="Poznámka" xfId="20" builtinId="10" customBuiltin="1"/>
    <cellStyle name="Procenta" xfId="6" builtinId="5" customBuiltin="1"/>
    <cellStyle name="Propojená buňka" xfId="17" builtinId="24" customBuiltin="1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1" builtinId="53" customBuiltin="1"/>
    <cellStyle name="Zvýraznění 1" xfId="23" builtinId="29" customBuiltin="1"/>
    <cellStyle name="Zvýraznění 2" xfId="27" builtinId="33" customBuiltin="1"/>
    <cellStyle name="Zvýraznění 3" xfId="31" builtinId="37" customBuiltin="1"/>
    <cellStyle name="Zvýraznění 4" xfId="35" builtinId="41" customBuiltin="1"/>
    <cellStyle name="Zvýraznění 5" xfId="39" builtinId="45" customBuiltin="1"/>
    <cellStyle name="Zvýraznění 6" xfId="43" builtinId="49" customBuiltin="1"/>
  </cellStyles>
  <dxfs count="1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</dxfs>
  <tableStyles count="0" defaultTableStyle="TableStyleMedium2" defaultPivotStyle="PivotStyleLight16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K$2" max="2999" min="1900" page="10" val="202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114300</xdr:colOff>
          <xdr:row>1</xdr:row>
          <xdr:rowOff>38100</xdr:rowOff>
        </xdr:from>
        <xdr:to>
          <xdr:col>37</xdr:col>
          <xdr:colOff>266700</xdr:colOff>
          <xdr:row>1</xdr:row>
          <xdr:rowOff>342900</xdr:rowOff>
        </xdr:to>
        <xdr:sp macro="" textlink="">
          <xdr:nvSpPr>
            <xdr:cNvPr id="1033" name="Číselník" descr="Kalendářní rok můžete změnit pomocí číselníku nebo zadáním do buňky C1.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46EB45C-792F-4720-AFFA-4773EA34D50B}" name="Září" displayName="Září" ref="B87:H88" totalsRowShown="0" headerRowDxfId="110" dataDxfId="108" headerRowBorderDxfId="109">
  <autoFilter ref="B87:H88" xr:uid="{7BD4247D-A8C8-4AE6-828F-1130997D9B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EE42E89-928C-4C22-A961-7E885A45822D}" name="PO" dataDxfId="107"/>
    <tableColumn id="2" xr3:uid="{AC077B57-4B5B-44D9-B680-1542FAA47835}" name="ÚT" dataDxfId="106"/>
    <tableColumn id="3" xr3:uid="{26C6390A-ED56-4389-921B-E823E3B142FA}" name="ST" dataDxfId="105"/>
    <tableColumn id="4" xr3:uid="{6297A621-248D-4715-936B-3C7C8FAC9F73}" name="ČT" dataDxfId="104"/>
    <tableColumn id="5" xr3:uid="{65439D0F-0987-4361-AACE-888F0AD02F41}" name="PÁ" dataDxfId="103"/>
    <tableColumn id="6" xr3:uid="{001F5D5B-2CE2-4830-B87A-47310907E17B}" name="SO" dataDxfId="102"/>
    <tableColumn id="7" xr3:uid="{92559195-CB73-43D5-AD89-B537C8DAFB16}" name="NE" dataDxfId="1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Září v této tabulce se automaticky aktualizuje názvy a daty pracovních dnů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33229B8-1B88-4F1F-8FB4-DD09863B6B21}" name="Duben" displayName="Duben" ref="J23:P24" totalsRowShown="0" headerRowDxfId="28" dataDxfId="27">
  <autoFilter ref="J23:P24" xr:uid="{023AAA8B-599D-4DD7-9B47-299A3FFC00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3A3BA78-F866-4F30-BC39-936CFAEA815A}" name="PO" dataDxfId="26"/>
    <tableColumn id="2" xr3:uid="{0254C3C1-F1BB-40F1-A18F-21E91977EE53}" name="ÚT" dataDxfId="25"/>
    <tableColumn id="3" xr3:uid="{C7755A12-A0CC-4F60-93D4-C919836CA309}" name="ST" dataDxfId="24"/>
    <tableColumn id="4" xr3:uid="{82522450-2E91-46D3-B3E7-1AAB18C97CE5}" name="ČT" dataDxfId="23"/>
    <tableColumn id="5" xr3:uid="{DFACDB8E-BE59-41D9-9E8B-38AB9BA5A92B}" name="PÁ" dataDxfId="22"/>
    <tableColumn id="6" xr3:uid="{64B8503A-65D1-4534-A8A1-DAE95B900A45}" name="SO" dataDxfId="21"/>
    <tableColumn id="7" xr3:uid="{65CD88A0-3D5F-46A0-8B33-E2CF40A9104A}" name="NE" dataDxfId="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Duben v této tabulce se automaticky aktualizuje názvy a daty pracovních dnů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A2AE65F-4F5F-4539-A5DC-D2140139BCE6}" name="Únor" displayName="Únor" ref="J5:P6" totalsRowShown="0" headerRowDxfId="19" dataDxfId="17" headerRowBorderDxfId="18">
  <autoFilter ref="J5:P6" xr:uid="{610DCB61-C9D8-4072-96BD-2D669E0FAB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C4C6C16-204E-44D5-B098-C9D229366098}" name="PO" dataDxfId="16"/>
    <tableColumn id="2" xr3:uid="{C6CD5C6F-CF91-4F35-B84B-AD12AA5267FB}" name="ÚT" dataDxfId="15"/>
    <tableColumn id="3" xr3:uid="{9BDA20AF-BB53-48D1-A451-57268ED65452}" name="ST" dataDxfId="14"/>
    <tableColumn id="4" xr3:uid="{3404FDF8-ACC1-45AC-8414-A54CCAEE5983}" name="ČT" dataDxfId="13"/>
    <tableColumn id="5" xr3:uid="{B0CA7D5E-4DA5-48D4-9D32-CCEBB2B7C1D4}" name="PÁ" dataDxfId="12"/>
    <tableColumn id="6" xr3:uid="{0C197BE0-3C8D-4A05-9555-54A2049E1930}" name="SO" dataDxfId="11"/>
    <tableColumn id="7" xr3:uid="{9637FE45-D42A-4BDA-BFC9-5691C984419E}" name="NE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Únor v této tabulce se automaticky aktualizuje názvy a daty pracovních dnů.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8AED6C3-3B40-48D6-848F-ECF430F4B778}" name="Leden" displayName="Leden" ref="B5:H6" totalsRowShown="0" headerRowDxfId="9" dataDxfId="7" headerRowBorderDxfId="8">
  <autoFilter ref="B5:H6" xr:uid="{88568651-C9EB-4E22-ADF8-AF307D60FB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D08E625-E389-49CD-A4F1-235667DDA1FB}" name="PO" dataDxfId="6"/>
    <tableColumn id="2" xr3:uid="{75530CFD-B4AD-4D7F-B600-AAB405F13F73}" name="ÚT" dataDxfId="5"/>
    <tableColumn id="3" xr3:uid="{FBE5DEA2-935E-4CDB-8F4B-6DA495232F54}" name="ST" dataDxfId="4"/>
    <tableColumn id="4" xr3:uid="{C3545009-9649-4B2D-9DF4-38AA968488C7}" name="ČT" dataDxfId="3"/>
    <tableColumn id="5" xr3:uid="{66242A36-16C2-4785-B8BE-E7522FB57E7F}" name="PÁ" dataDxfId="2"/>
    <tableColumn id="6" xr3:uid="{0C7FC9B3-E733-414B-918A-07CAC4D1424B}" name="SO" dataDxfId="1"/>
    <tableColumn id="7" xr3:uid="{A966067F-058A-45AC-B3F6-BDEA651BC587}" name="N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Leden v této tabulce se automaticky aktualizuje názvy a daty pracovních dnů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780AF45-5D0B-4D82-A104-EC33AB3AAABC}" name="Říjen" displayName="Říjen" ref="J87:P88" totalsRowShown="0" headerRowDxfId="100" dataDxfId="99">
  <autoFilter ref="J87:P88" xr:uid="{F5C87179-9167-449C-9551-AE5292621A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E83FF77-4BE3-4402-B310-F79BA1795D6B}" name="PO" dataDxfId="98"/>
    <tableColumn id="2" xr3:uid="{BC214BD9-B1AA-437E-9F2A-96512D1FC1EF}" name="ÚT" dataDxfId="97"/>
    <tableColumn id="3" xr3:uid="{DEF1622E-55E3-4D12-BCF7-2C2AD5CA979E}" name="ST" dataDxfId="96"/>
    <tableColumn id="4" xr3:uid="{F867F210-9EED-4C0D-8B37-DA1447D6A197}" name="ČT" dataDxfId="95"/>
    <tableColumn id="5" xr3:uid="{CE9078E8-C980-4A0A-A8D3-2FD8424176E3}" name="PÁ" dataDxfId="94"/>
    <tableColumn id="6" xr3:uid="{515CFAB1-C4A6-417A-9486-443828202D84}" name="SO" dataDxfId="93"/>
    <tableColumn id="7" xr3:uid="{4B8E7248-85D1-4C1F-B418-3B6A982A7CFB}" name="NE" dataDxfId="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Říjen v této tabulce se automaticky aktualizuje názvy a daty pracovních dnů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A8A860-1B1C-477C-8F5B-037CA6D60998}" name="Prosinec" displayName="Prosinec" ref="J105:P106" totalsRowShown="0" headerRowDxfId="91" dataDxfId="90">
  <autoFilter ref="J105:P106" xr:uid="{AE48E127-E30D-4A27-8551-E2A886E83C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7048C4D-C2DF-46BD-A5C9-B2C096C9FB62}" name="PO" dataDxfId="89"/>
    <tableColumn id="2" xr3:uid="{0B2EF454-81AB-4D52-AA3C-B690EE44D185}" name="ÚT" dataDxfId="88"/>
    <tableColumn id="3" xr3:uid="{330729B5-C644-4537-822D-A57AA2A6AFCB}" name="ST" dataDxfId="87"/>
    <tableColumn id="4" xr3:uid="{B075B448-2CB0-4CF8-8793-E5F852FB6BF4}" name="ČT" dataDxfId="86"/>
    <tableColumn id="5" xr3:uid="{3DD95F2E-3155-449D-8E77-13FA75DB345D}" name="PÁ" dataDxfId="85"/>
    <tableColumn id="6" xr3:uid="{14159A6B-D249-4320-B25E-77E7CE8A7B70}" name="SO" dataDxfId="84"/>
    <tableColumn id="7" xr3:uid="{120B0F7F-66B4-43D6-A5A0-273402CB3A21}" name="NE" dataDxfId="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Prosinec v této tabulce se automaticky aktualizuje názvy a daty pracovních dnů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4D967C8-7081-403B-BA98-B9E5AE58E7CA}" name="Listopad" displayName="Listopad" ref="B105:H106" totalsRowShown="0" headerRowDxfId="82" dataDxfId="81">
  <autoFilter ref="B105:H106" xr:uid="{18BAEB8B-DB52-4501-B02D-A0E4349FAC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F91C006-42BC-4E2D-BF6A-BE6F37B8B800}" name="PO" dataDxfId="80"/>
    <tableColumn id="2" xr3:uid="{1938D43D-8FD5-4C3A-BBDE-168F7D05611A}" name="ÚT" dataDxfId="79"/>
    <tableColumn id="3" xr3:uid="{4842CF04-FF41-4DB4-969F-4FF7FB3902A6}" name="ST" dataDxfId="78"/>
    <tableColumn id="4" xr3:uid="{E599A265-8BBA-452F-8721-124F4941D44A}" name="ČT" dataDxfId="77"/>
    <tableColumn id="5" xr3:uid="{503B45A2-4B8C-40CA-A557-BE247E21EBE0}" name="PÁ" dataDxfId="76"/>
    <tableColumn id="6" xr3:uid="{11596C05-FA11-4530-A6EA-61D3235356BC}" name="SO" dataDxfId="75"/>
    <tableColumn id="7" xr3:uid="{0AEE3C18-6495-4572-AF73-82B176FF576D}" name="NE" dataDxfId="7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Listopad v této tabulce se automaticky aktualizuje názvy a daty pracovních dnů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3C1060-32D3-4798-8C5C-D8EC60209D45}" name="Srpen" displayName="Srpen" ref="J69:P70" totalsRowShown="0" headerRowDxfId="73" dataDxfId="72">
  <autoFilter ref="J69:P70" xr:uid="{BF200729-0103-4A7A-9F1A-8C896181E4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37ACFF2-D98C-4302-A4DC-B2CD7F51DBCB}" name="PO" dataDxfId="71"/>
    <tableColumn id="2" xr3:uid="{2ADFD18E-73CF-40C6-9E7E-AC4C740BC59D}" name="ÚT" dataDxfId="70"/>
    <tableColumn id="3" xr3:uid="{BBC74DA7-83A6-4D91-BF4B-5F328BDDADC6}" name="ST" dataDxfId="69"/>
    <tableColumn id="4" xr3:uid="{8C330E47-2E4D-412E-815A-0394E6AE9382}" name="ČT" dataDxfId="68"/>
    <tableColumn id="5" xr3:uid="{7DE51A02-5E8E-45A2-8DAD-8BCA97881B5B}" name="PÁ" dataDxfId="67"/>
    <tableColumn id="6" xr3:uid="{F1DBB649-6704-4D40-9CEA-DF15F983A06C}" name="SO" dataDxfId="66"/>
    <tableColumn id="7" xr3:uid="{51A41C29-8B84-44D3-9FBF-8CFD330AE630}" name="NE" dataDxfId="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Srpen v této tabulce se automaticky aktualizuje názvy a daty pracovních dnů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34819D-AB97-4F99-A0A0-D10139D84156}" name="Červenec" displayName="Červenec" ref="B69:H70" totalsRowShown="0" headerRowDxfId="64" dataDxfId="63">
  <autoFilter ref="B69:H70" xr:uid="{CE87FFBF-56D6-414D-8F19-D541DDAC9D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AC3573E-5603-40F0-BB61-A49AC0DCDC68}" name="PO" dataDxfId="62"/>
    <tableColumn id="2" xr3:uid="{568E5AFD-291F-45CA-83FA-D2B689223DA6}" name="ÚT" dataDxfId="61"/>
    <tableColumn id="3" xr3:uid="{C8C03194-1D08-49BA-A13F-C8057F21DCFD}" name="ST" dataDxfId="60"/>
    <tableColumn id="4" xr3:uid="{FA9F7A80-5142-4B66-A4DB-DD0C92AD12F8}" name="ČT" dataDxfId="59"/>
    <tableColumn id="5" xr3:uid="{B161F7ED-ED60-4234-A636-5B7151552BEE}" name="PÁ" dataDxfId="58"/>
    <tableColumn id="6" xr3:uid="{B35D3CFE-C366-4BB1-8DB2-4AA956526C0F}" name="SO" dataDxfId="57"/>
    <tableColumn id="7" xr3:uid="{AE059A51-FD33-4417-8D42-3C2CFA91888E}" name="NE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Červenec v této tabulce se automaticky aktualizuje názvy a daty pracovních dnů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B9987B7-53E6-4450-8C9D-39A47FFE4134}" name="Červen" displayName="Červen" ref="J44:P45" totalsRowShown="0" headerRowDxfId="55" dataDxfId="54">
  <autoFilter ref="J44:P45" xr:uid="{7057847F-74B8-4861-B2F4-DF1BEFB360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86102EA-1BCA-43D2-BF1B-CDC69B4F8D11}" name="PO" dataDxfId="53"/>
    <tableColumn id="2" xr3:uid="{C194C86A-B8C3-4374-966A-22BFA0B87048}" name="ÚT" dataDxfId="52"/>
    <tableColumn id="3" xr3:uid="{59B5196A-9902-475A-80A7-EFF51EFA062C}" name="ST" dataDxfId="51"/>
    <tableColumn id="4" xr3:uid="{40178AF9-C419-4535-8950-10F3AF777975}" name="ČT" dataDxfId="50"/>
    <tableColumn id="5" xr3:uid="{BDB3553D-E653-45F5-90BF-B9941CEE517B}" name="PÁ" dataDxfId="49"/>
    <tableColumn id="6" xr3:uid="{C391E899-8C56-4F85-BC13-979EA10FF077}" name="SO" dataDxfId="48"/>
    <tableColumn id="7" xr3:uid="{AF6B7E0C-93D9-4615-ABA0-6086AA3DDB65}" name="NE" dataDxfId="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Červen v této tabulce se automaticky aktualizuje názvy a daty pracovních dnů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7944E7C-9B8A-4194-B034-46E5D0A26219}" name="Květen" displayName="Květen" ref="B44:H45" totalsRowShown="0" headerRowDxfId="46" dataDxfId="45">
  <autoFilter ref="B44:H45" xr:uid="{B526D7A0-2417-4315-B717-973C3BE43D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6AE9DEF-4B20-42DF-860F-E5FEA1931544}" name="PO" dataDxfId="44"/>
    <tableColumn id="2" xr3:uid="{0D18FAF9-1362-4AF0-B56F-782045BC6DB7}" name="ÚT" dataDxfId="43"/>
    <tableColumn id="3" xr3:uid="{8FBCF9B5-6CA8-4EB0-9DF9-D8F0F6F9C6BC}" name="ST" dataDxfId="42"/>
    <tableColumn id="4" xr3:uid="{4F7F0F7F-47CD-4FF1-9E35-1B24099D080C}" name="ČT" dataDxfId="41"/>
    <tableColumn id="5" xr3:uid="{DF92B16F-6BC5-4BDE-98FB-CDC534ADD668}" name="PÁ" dataDxfId="40"/>
    <tableColumn id="6" xr3:uid="{D029CFB9-380E-45BB-8A4B-FA3072C21946}" name="SO" dataDxfId="39"/>
    <tableColumn id="7" xr3:uid="{478495E3-4C1A-4928-9264-BB651B96552E}" name="NE" dataDxfId="3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Květen v této tabulce se automaticky aktualizuje názvy a daty pracovních dnů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B45672E-D812-4A32-A068-364BB71226F2}" name="Březen" displayName="Březen" ref="B23:H24" totalsRowShown="0" headerRowDxfId="37" dataDxfId="36">
  <autoFilter ref="B23:H24" xr:uid="{AF600F25-0571-4E74-8055-BF9579FE3A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55D00B5-F11C-4847-A168-315955A9AFBB}" name="PO" dataDxfId="35"/>
    <tableColumn id="2" xr3:uid="{DD8FDA0B-3E4D-4BE5-ABD0-6A4A10D7346F}" name="ÚT" dataDxfId="34"/>
    <tableColumn id="3" xr3:uid="{525A03B4-FE60-4320-8824-28642BB0B1ED}" name="ST" dataDxfId="33"/>
    <tableColumn id="4" xr3:uid="{AFB9B421-9871-4103-9D22-CD1267615538}" name="ČT" dataDxfId="32"/>
    <tableColumn id="5" xr3:uid="{F3F809D4-B280-4CB6-AD4F-5694D0CD7653}" name="PÁ" dataDxfId="31"/>
    <tableColumn id="6" xr3:uid="{43B35C36-7B34-4608-8FC7-292BFAB1A110}" name="SO" dataDxfId="30"/>
    <tableColumn id="7" xr3:uid="{2A162B00-2D10-4072-99A5-4D8A31ECAC84}" name="NE" dataDxfId="2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ář Březen v této tabulce se automaticky aktualizuje názvy a daty pracovních dnů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13" Type="http://schemas.openxmlformats.org/officeDocument/2006/relationships/table" Target="../tables/table9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3.xml"/><Relationship Id="rId12" Type="http://schemas.openxmlformats.org/officeDocument/2006/relationships/table" Target="../tables/table8.xml"/><Relationship Id="rId2" Type="http://schemas.openxmlformats.org/officeDocument/2006/relationships/drawing" Target="../drawings/drawing1.xml"/><Relationship Id="rId16" Type="http://schemas.openxmlformats.org/officeDocument/2006/relationships/table" Target="../tables/table1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11" Type="http://schemas.openxmlformats.org/officeDocument/2006/relationships/table" Target="../tables/table7.xml"/><Relationship Id="rId5" Type="http://schemas.openxmlformats.org/officeDocument/2006/relationships/table" Target="../tables/table1.xml"/><Relationship Id="rId15" Type="http://schemas.openxmlformats.org/officeDocument/2006/relationships/table" Target="../tables/table11.xml"/><Relationship Id="rId10" Type="http://schemas.openxmlformats.org/officeDocument/2006/relationships/table" Target="../tables/table6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5.xml"/><Relationship Id="rId1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134"/>
  <sheetViews>
    <sheetView showGridLines="0" tabSelected="1" zoomScaleNormal="100" workbookViewId="0">
      <selection activeCell="X9" sqref="X9"/>
    </sheetView>
  </sheetViews>
  <sheetFormatPr defaultColWidth="9.5" defaultRowHeight="11.25" x14ac:dyDescent="0.2"/>
  <cols>
    <col min="1" max="1" width="2" style="10" customWidth="1"/>
    <col min="2" max="16" width="6.83203125" customWidth="1"/>
    <col min="17" max="17" width="2.1640625" customWidth="1"/>
    <col min="18" max="18" width="1.1640625" customWidth="1"/>
    <col min="19" max="19" width="2.1640625" customWidth="1"/>
    <col min="20" max="23" width="6.83203125" customWidth="1"/>
    <col min="24" max="24" width="10" customWidth="1"/>
    <col min="25" max="25" width="1" customWidth="1"/>
    <col min="26" max="26" width="6.83203125" customWidth="1"/>
    <col min="27" max="27" width="8.5" customWidth="1"/>
    <col min="28" max="28" width="6.83203125" hidden="1" customWidth="1"/>
    <col min="29" max="29" width="6.83203125" customWidth="1"/>
    <col min="30" max="30" width="4.5" customWidth="1"/>
    <col min="31" max="41" width="9.33203125" customWidth="1"/>
    <col min="42" max="42" width="9.5" customWidth="1"/>
  </cols>
  <sheetData>
    <row r="1" spans="1:38" ht="12" thickBot="1" x14ac:dyDescent="0.25"/>
    <row r="2" spans="1:38" ht="30" customHeight="1" thickBot="1" x14ac:dyDescent="0.25">
      <c r="A2" s="8"/>
      <c r="B2" s="20" t="s">
        <v>34</v>
      </c>
      <c r="C2" s="15"/>
      <c r="D2" s="15"/>
      <c r="E2" s="15"/>
      <c r="F2" s="16"/>
      <c r="G2" s="17"/>
      <c r="H2" s="17"/>
      <c r="I2" s="15"/>
      <c r="J2" s="15"/>
      <c r="K2" s="97">
        <v>2025</v>
      </c>
      <c r="L2" s="97"/>
      <c r="M2" s="97"/>
      <c r="N2" s="97"/>
      <c r="O2" s="17"/>
      <c r="P2" s="17"/>
      <c r="Q2" s="17"/>
      <c r="R2" s="15"/>
      <c r="S2" s="15"/>
      <c r="T2" s="49" t="s">
        <v>40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G2" s="25" t="s">
        <v>35</v>
      </c>
      <c r="AH2" s="26"/>
      <c r="AI2" s="26"/>
      <c r="AJ2" s="26"/>
      <c r="AK2" s="26"/>
      <c r="AL2" s="27"/>
    </row>
    <row r="3" spans="1:38" ht="15" customHeight="1" x14ac:dyDescent="0.2">
      <c r="A3" s="9"/>
      <c r="B3" s="11"/>
      <c r="C3" s="11"/>
      <c r="D3" s="11"/>
      <c r="E3" s="11"/>
      <c r="F3" s="11"/>
      <c r="G3" s="11"/>
      <c r="H3" s="11"/>
      <c r="I3" s="11"/>
      <c r="R3" s="17"/>
    </row>
    <row r="4" spans="1:38" ht="15" customHeight="1" x14ac:dyDescent="0.25">
      <c r="B4" s="74" t="s">
        <v>14</v>
      </c>
      <c r="C4" s="74"/>
      <c r="D4" s="74"/>
      <c r="E4" s="74"/>
      <c r="F4" s="74"/>
      <c r="G4" s="74"/>
      <c r="H4" s="74"/>
      <c r="I4" s="2"/>
      <c r="J4" s="84" t="s">
        <v>27</v>
      </c>
      <c r="K4" s="84"/>
      <c r="L4" s="84"/>
      <c r="M4" s="84"/>
      <c r="N4" s="84"/>
      <c r="O4" s="84"/>
      <c r="P4" s="84"/>
      <c r="R4" s="17"/>
      <c r="T4" s="50"/>
      <c r="U4" s="23" t="s">
        <v>38</v>
      </c>
      <c r="V4" s="1"/>
    </row>
    <row r="5" spans="1:38" ht="15" customHeight="1" x14ac:dyDescent="0.25">
      <c r="A5" s="9"/>
      <c r="B5" s="32" t="s">
        <v>15</v>
      </c>
      <c r="C5" s="32" t="s">
        <v>21</v>
      </c>
      <c r="D5" s="32" t="s">
        <v>22</v>
      </c>
      <c r="E5" s="32" t="s">
        <v>23</v>
      </c>
      <c r="F5" s="32" t="s">
        <v>24</v>
      </c>
      <c r="G5" s="55" t="s">
        <v>25</v>
      </c>
      <c r="H5" s="55" t="s">
        <v>26</v>
      </c>
      <c r="I5" s="33"/>
      <c r="J5" s="32" t="s">
        <v>15</v>
      </c>
      <c r="K5" s="32" t="s">
        <v>21</v>
      </c>
      <c r="L5" s="32" t="s">
        <v>22</v>
      </c>
      <c r="M5" s="32" t="s">
        <v>23</v>
      </c>
      <c r="N5" s="32" t="s">
        <v>24</v>
      </c>
      <c r="O5" s="55" t="s">
        <v>25</v>
      </c>
      <c r="P5" s="55" t="s">
        <v>26</v>
      </c>
      <c r="R5" s="17"/>
      <c r="T5" s="6"/>
      <c r="U5" s="21"/>
      <c r="V5" s="1"/>
    </row>
    <row r="6" spans="1:38" ht="15" customHeight="1" x14ac:dyDescent="0.25">
      <c r="A6" s="9"/>
      <c r="B6" s="34" t="str">
        <f>IF(DAY(Ne1Led)=1,"",IF(AND(YEAR(Ne1Led+1)=RokKalendáře,MONTH(Ne1Led+1)=1),Ne1Led+1,""))</f>
        <v/>
      </c>
      <c r="C6" s="34">
        <v>31</v>
      </c>
      <c r="D6" s="34">
        <f>IF(DAY(Ne1Led)=1,"",IF(AND(YEAR(Ne1Led+3)=RokKalendáře,MONTH(Ne1Led+3)=1),Ne1Led+3,""))</f>
        <v>45658</v>
      </c>
      <c r="E6" s="34">
        <f>IF(DAY(Ne1Led)=1,"",IF(AND(YEAR(Ne1Led+4)=RokKalendáře,MONTH(Ne1Led+4)=1),Ne1Led+4,""))</f>
        <v>45659</v>
      </c>
      <c r="F6" s="34">
        <f>IF(DAY(Ne1Led)=1,"",IF(AND(YEAR(Ne1Led+5)=RokKalendáře,MONTH(Ne1Led+5)=1),Ne1Led+5,""))</f>
        <v>45660</v>
      </c>
      <c r="G6" s="34">
        <f>IF(DAY(Ne1Led)=1,"",IF(AND(YEAR(Ne1Led+6)=RokKalendáře,MONTH(Ne1Led+6)=1),Ne1Led+6,""))</f>
        <v>45661</v>
      </c>
      <c r="H6" s="34">
        <f>IF(DAY(Ne1Led)=1,IF(AND(YEAR(Ne1Led)=RokKalendáře,MONTH(Ne1Led)=1),Ne1Led,""),IF(AND(YEAR(Ne1Led+7)=RokKalendáře,MONTH(Ne1Led+7)=1),Ne1Led+7,""))</f>
        <v>45662</v>
      </c>
      <c r="I6" s="35"/>
      <c r="J6" s="34" t="str">
        <f>IF(DAY(Ne1Úno)=1,"",IF(AND(YEAR(Ne1Úno+1)=RokKalendáře,MONTH(Ne1Úno+1)=2),Ne1Úno+1,""))</f>
        <v/>
      </c>
      <c r="K6" s="34" t="str">
        <f>IF(DAY(Ne1Úno)=1,"",IF(AND(YEAR(Ne1Úno+2)=RokKalendáře,MONTH(Ne1Úno+2)=2),Ne1Úno+2,""))</f>
        <v/>
      </c>
      <c r="L6" s="34" t="str">
        <f>IF(DAY(Ne1Úno)=1,"",IF(AND(YEAR(Ne1Úno+3)=RokKalendáře,MONTH(Ne1Úno+3)=2),Ne1Úno+3,""))</f>
        <v/>
      </c>
      <c r="M6" s="34" t="str">
        <f>IF(DAY(Ne1Úno)=1,"",IF(AND(YEAR(Ne1Úno+4)=RokKalendáře,MONTH(Ne1Úno+4)=2),Ne1Úno+4,""))</f>
        <v/>
      </c>
      <c r="N6" s="34" t="str">
        <f>IF(DAY(Ne1Úno)=1,"",IF(AND(YEAR(Ne1Úno+5)=RokKalendáře,MONTH(Ne1Úno+5)=2),Ne1Úno+5,""))</f>
        <v/>
      </c>
      <c r="O6" s="34">
        <f>IF(DAY(Ne1Úno)=1,"",IF(AND(YEAR(Ne1Úno+6)=RokKalendáře,MONTH(Ne1Úno+6)=2),Ne1Úno+6,""))</f>
        <v>45689</v>
      </c>
      <c r="P6" s="34">
        <f>IF(DAY(Ne1Úno)=1,IF(AND(YEAR(Ne1Úno)=RokKalendáře,MONTH(Ne1Úno)=2),Ne1Úno,""),IF(AND(YEAR(Ne1Úno+7)=RokKalendáře,MONTH(Ne1Úno+7)=2),Ne1Úno+7,""))</f>
        <v>45690</v>
      </c>
      <c r="R6" s="17"/>
      <c r="T6" s="51"/>
      <c r="U6" s="23" t="s">
        <v>39</v>
      </c>
      <c r="V6" s="1"/>
    </row>
    <row r="7" spans="1:38" ht="15" customHeight="1" x14ac:dyDescent="0.25">
      <c r="A7" s="9"/>
      <c r="B7" s="78"/>
      <c r="C7" s="79"/>
      <c r="D7" s="78"/>
      <c r="E7" s="80"/>
      <c r="F7" s="80"/>
      <c r="G7" s="77"/>
      <c r="H7" s="77"/>
      <c r="I7" s="35"/>
      <c r="J7" s="85"/>
      <c r="K7" s="85"/>
      <c r="L7" s="85"/>
      <c r="M7" s="85"/>
      <c r="N7" s="85"/>
      <c r="O7" s="75"/>
      <c r="P7" s="75"/>
      <c r="R7" s="17"/>
      <c r="T7" s="3"/>
      <c r="U7" s="21"/>
      <c r="V7" s="1"/>
    </row>
    <row r="8" spans="1:38" ht="15" customHeight="1" x14ac:dyDescent="0.25">
      <c r="A8" s="9"/>
      <c r="B8" s="78"/>
      <c r="C8" s="79"/>
      <c r="D8" s="78"/>
      <c r="E8" s="80"/>
      <c r="F8" s="80"/>
      <c r="G8" s="77"/>
      <c r="H8" s="77"/>
      <c r="I8" s="35"/>
      <c r="J8" s="86"/>
      <c r="K8" s="86"/>
      <c r="L8" s="86"/>
      <c r="M8" s="86"/>
      <c r="N8" s="86"/>
      <c r="O8" s="76"/>
      <c r="P8" s="76"/>
      <c r="R8" s="17"/>
      <c r="T8" s="60"/>
      <c r="U8" s="70" t="s">
        <v>43</v>
      </c>
      <c r="V8" s="70"/>
      <c r="W8" s="70"/>
      <c r="X8" s="70"/>
      <c r="Y8" s="70"/>
      <c r="Z8" s="70"/>
      <c r="AA8" s="70"/>
      <c r="AB8" s="70"/>
    </row>
    <row r="9" spans="1:38" ht="15" customHeight="1" x14ac:dyDescent="0.25">
      <c r="A9" s="9"/>
      <c r="B9" s="34">
        <f>IF(DAY(Ne1Led)=1,IF(AND(YEAR(Ne1Led+1)=RokKalendáře,MONTH(Ne1Led+1)=1),Ne1Led+1,""),IF(AND(YEAR(Ne1Led+8)=RokKalendáře,MONTH(Ne1Led+8)=1),Ne1Led+8,""))</f>
        <v>45663</v>
      </c>
      <c r="C9" s="34">
        <f>IF(DAY(Ne1Led)=1,IF(AND(YEAR(Ne1Led+2)=RokKalendáře,MONTH(Ne1Led+2)=1),Ne1Led+2,""),IF(AND(YEAR(Ne1Led+9)=RokKalendáře,MONTH(Ne1Led+9)=1),Ne1Led+9,""))</f>
        <v>45664</v>
      </c>
      <c r="D9" s="34">
        <f>IF(DAY(Ne1Led)=1,IF(AND(YEAR(Ne1Led+3)=RokKalendáře,MONTH(Ne1Led+3)=1),Ne1Led+3,""),IF(AND(YEAR(Ne1Led+10)=RokKalendáře,MONTH(Ne1Led+10)=1),Ne1Led+10,""))</f>
        <v>45665</v>
      </c>
      <c r="E9" s="34">
        <f>IF(DAY(Ne1Led)=1,IF(AND(YEAR(Ne1Led+4)=RokKalendáře,MONTH(Ne1Led+4)=1),Ne1Led+4,""),IF(AND(YEAR(Ne1Led+11)=RokKalendáře,MONTH(Ne1Led+11)=1),Ne1Led+11,""))</f>
        <v>45666</v>
      </c>
      <c r="F9" s="34">
        <f>IF(DAY(Ne1Led)=1,IF(AND(YEAR(Ne1Led+5)=RokKalendáře,MONTH(Ne1Led+5)=1),Ne1Led+5,""),IF(AND(YEAR(Ne1Led+12)=RokKalendáře,MONTH(Ne1Led+12)=1),Ne1Led+12,""))</f>
        <v>45667</v>
      </c>
      <c r="G9" s="34">
        <f>IF(DAY(Ne1Led)=1,IF(AND(YEAR(Ne1Led+6)=RokKalendáře,MONTH(Ne1Led+6)=1),Ne1Led+6,""),IF(AND(YEAR(Ne1Led+13)=RokKalendáře,MONTH(Ne1Led+13)=1),Ne1Led+13,""))</f>
        <v>45668</v>
      </c>
      <c r="H9" s="34">
        <f>IF(DAY(Ne1Led)=1,IF(AND(YEAR(Ne1Led+7)=RokKalendáře,MONTH(Ne1Led+7)=1),Ne1Led+7,""),IF(AND(YEAR(Ne1Led+14)=RokKalendáře,MONTH(Ne1Led+14)=1),Ne1Led+14,""))</f>
        <v>45669</v>
      </c>
      <c r="I9" s="35"/>
      <c r="J9" s="34">
        <f>IF(DAY(Ne1Úno)=1,IF(AND(YEAR(Ne1Úno+1)=RokKalendáře,MONTH(Ne1Úno+1)=2),Ne1Úno+1,""),IF(AND(YEAR(Ne1Úno+8)=RokKalendáře,MONTH(Ne1Úno+8)=2),Ne1Úno+8,""))</f>
        <v>45691</v>
      </c>
      <c r="K9" s="34">
        <f>IF(DAY(Ne1Úno)=1,IF(AND(YEAR(Ne1Úno+2)=RokKalendáře,MONTH(Ne1Úno+2)=2),Ne1Úno+2,""),IF(AND(YEAR(Ne1Úno+9)=RokKalendáře,MONTH(Ne1Úno+9)=2),Ne1Úno+9,""))</f>
        <v>45692</v>
      </c>
      <c r="L9" s="34">
        <f>IF(DAY(Ne1Úno)=1,IF(AND(YEAR(Ne1Úno+3)=RokKalendáře,MONTH(Ne1Úno+3)=2),Ne1Úno+3,""),IF(AND(YEAR(Ne1Úno+10)=RokKalendáře,MONTH(Ne1Úno+10)=2),Ne1Úno+10,""))</f>
        <v>45693</v>
      </c>
      <c r="M9" s="34">
        <f>IF(DAY(Ne1Úno)=1,IF(AND(YEAR(Ne1Úno+4)=RokKalendáře,MONTH(Ne1Úno+4)=2),Ne1Úno+4,""),IF(AND(YEAR(Ne1Úno+11)=RokKalendáře,MONTH(Ne1Úno+11)=2),Ne1Úno+11,""))</f>
        <v>45694</v>
      </c>
      <c r="N9" s="34">
        <f>IF(DAY(Ne1Úno)=1,IF(AND(YEAR(Ne1Úno+5)=RokKalendáře,MONTH(Ne1Úno+5)=2),Ne1Úno+5,""),IF(AND(YEAR(Ne1Úno+12)=RokKalendáře,MONTH(Ne1Úno+12)=2),Ne1Úno+12,""))</f>
        <v>45695</v>
      </c>
      <c r="O9" s="34">
        <f>IF(DAY(Ne1Úno)=1,IF(AND(YEAR(Ne1Úno+6)=RokKalendáře,MONTH(Ne1Úno+6)=2),Ne1Úno+6,""),IF(AND(YEAR(Ne1Úno+13)=RokKalendáře,MONTH(Ne1Úno+13)=2),Ne1Úno+13,""))</f>
        <v>45696</v>
      </c>
      <c r="P9" s="34">
        <f>IF(DAY(Ne1Úno)=1,IF(AND(YEAR(Ne1Úno+7)=RokKalendáře,MONTH(Ne1Úno+7)=2),Ne1Úno+7,""),IF(AND(YEAR(Ne1Úno+14)=RokKalendáře,MONTH(Ne1Úno+14)=2),Ne1Úno+14,""))</f>
        <v>45697</v>
      </c>
      <c r="R9" s="17"/>
      <c r="T9" s="7"/>
      <c r="U9" s="71" t="s">
        <v>44</v>
      </c>
      <c r="V9" s="70"/>
      <c r="W9" s="70"/>
      <c r="X9" s="70"/>
      <c r="Y9" s="70"/>
      <c r="Z9" s="72"/>
      <c r="AA9" s="72"/>
      <c r="AB9" s="72"/>
    </row>
    <row r="10" spans="1:38" ht="15" customHeight="1" x14ac:dyDescent="0.25">
      <c r="A10" s="9"/>
      <c r="B10" s="78"/>
      <c r="C10" s="82"/>
      <c r="D10" s="78"/>
      <c r="E10" s="57"/>
      <c r="F10" s="83"/>
      <c r="G10" s="77"/>
      <c r="H10" s="77"/>
      <c r="I10" s="35"/>
      <c r="J10" s="65"/>
      <c r="K10" s="62"/>
      <c r="L10" s="65"/>
      <c r="M10" s="57"/>
      <c r="N10" s="83"/>
      <c r="O10" s="75"/>
      <c r="P10" s="75"/>
      <c r="R10" s="17"/>
      <c r="U10" s="73" t="s">
        <v>45</v>
      </c>
      <c r="V10" s="73"/>
      <c r="W10" s="73"/>
      <c r="AA10" s="48"/>
    </row>
    <row r="11" spans="1:38" ht="15" customHeight="1" x14ac:dyDescent="0.25">
      <c r="A11" s="9"/>
      <c r="B11" s="78"/>
      <c r="C11" s="82"/>
      <c r="D11" s="78"/>
      <c r="E11" s="58"/>
      <c r="F11" s="83"/>
      <c r="G11" s="77"/>
      <c r="H11" s="77"/>
      <c r="I11" s="35"/>
      <c r="J11" s="66"/>
      <c r="K11" s="61"/>
      <c r="L11" s="66"/>
      <c r="M11" s="58"/>
      <c r="N11" s="83"/>
      <c r="O11" s="76"/>
      <c r="P11" s="76"/>
      <c r="R11" s="17"/>
    </row>
    <row r="12" spans="1:38" ht="15" customHeight="1" x14ac:dyDescent="0.25">
      <c r="B12" s="34">
        <f>IF(DAY(Ne1Led)=1,IF(AND(YEAR(Ne1Led+8)=RokKalendáře,MONTH(Ne1Led+8)=1),Ne1Led+8,""),IF(AND(YEAR(Ne1Led+15)=RokKalendáře,MONTH(Ne1Led+15)=1),Ne1Led+15,""))</f>
        <v>45670</v>
      </c>
      <c r="C12" s="34">
        <f>IF(DAY(Ne1Led)=1,IF(AND(YEAR(Ne1Led+9)=RokKalendáře,MONTH(Ne1Led+9)=1),Ne1Led+9,""),IF(AND(YEAR(Ne1Led+16)=RokKalendáře,MONTH(Ne1Led+16)=1),Ne1Led+16,""))</f>
        <v>45671</v>
      </c>
      <c r="D12" s="34">
        <f>IF(DAY(Ne1Led)=1,IF(AND(YEAR(Ne1Led+10)=RokKalendáře,MONTH(Ne1Led+10)=1),Ne1Led+10,""),IF(AND(YEAR(Ne1Led+17)=RokKalendáře,MONTH(Ne1Led+17)=1),Ne1Led+17,""))</f>
        <v>45672</v>
      </c>
      <c r="E12" s="34">
        <v>16</v>
      </c>
      <c r="F12" s="34">
        <v>17</v>
      </c>
      <c r="G12" s="34">
        <f>IF(DAY(Ne1Led)=1,IF(AND(YEAR(Ne1Led+13)=RokKalendáře,MONTH(Ne1Led+13)=1),Ne1Led+13,""),IF(AND(YEAR(Ne1Led+20)=RokKalendáře,MONTH(Ne1Led+20)=1),Ne1Led+20,""))</f>
        <v>45675</v>
      </c>
      <c r="H12" s="34">
        <f>IF(DAY(Ne1Led)=1,IF(AND(YEAR(Ne1Led+14)=RokKalendáře,MONTH(Ne1Led+14)=1),Ne1Led+14,""),IF(AND(YEAR(Ne1Led+21)=RokKalendáře,MONTH(Ne1Led+21)=1),Ne1Led+21,""))</f>
        <v>45676</v>
      </c>
      <c r="I12" s="35"/>
      <c r="J12" s="34">
        <f>IF(DAY(Ne1Úno)=1,IF(AND(YEAR(Ne1Úno+8)=RokKalendáře,MONTH(Ne1Úno+8)=2),Ne1Úno+8,""),IF(AND(YEAR(Ne1Úno+15)=RokKalendáře,MONTH(Ne1Úno+15)=2),Ne1Úno+15,""))</f>
        <v>45698</v>
      </c>
      <c r="K12" s="34">
        <f>IF(DAY(Ne1Úno)=1,IF(AND(YEAR(Ne1Úno+9)=RokKalendáře,MONTH(Ne1Úno+9)=2),Ne1Úno+9,""),IF(AND(YEAR(Ne1Úno+16)=RokKalendáře,MONTH(Ne1Úno+16)=2),Ne1Úno+16,""))</f>
        <v>45699</v>
      </c>
      <c r="L12" s="34">
        <f>IF(DAY(Ne1Úno)=1,IF(AND(YEAR(Ne1Úno+10)=RokKalendáře,MONTH(Ne1Úno+10)=2),Ne1Úno+10,""),IF(AND(YEAR(Ne1Úno+17)=RokKalendáře,MONTH(Ne1Úno+17)=2),Ne1Úno+17,""))</f>
        <v>45700</v>
      </c>
      <c r="M12" s="34">
        <v>13</v>
      </c>
      <c r="N12" s="34">
        <v>14</v>
      </c>
      <c r="O12" s="34">
        <f>IF(DAY(Ne1Úno)=1,IF(AND(YEAR(Ne1Úno+13)=RokKalendáře,MONTH(Ne1Úno+13)=2),Ne1Úno+13,""),IF(AND(YEAR(Ne1Úno+20)=RokKalendáře,MONTH(Ne1Úno+20)=2),Ne1Úno+20,""))</f>
        <v>45703</v>
      </c>
      <c r="P12" s="34">
        <f>IF(DAY(Ne1Úno)=1,IF(AND(YEAR(Ne1Úno+14)=RokKalendáře,MONTH(Ne1Úno+14)=2),Ne1Úno+14,""),IF(AND(YEAR(Ne1Úno+21)=RokKalendáře,MONTH(Ne1Úno+21)=2),Ne1Úno+21,""))</f>
        <v>45704</v>
      </c>
      <c r="R12" s="17"/>
      <c r="T12" s="63" t="s">
        <v>46</v>
      </c>
      <c r="U12" s="64"/>
      <c r="V12" s="59"/>
      <c r="W12" s="48"/>
      <c r="X12" s="48"/>
      <c r="Y12" s="48"/>
      <c r="Z12" s="48"/>
    </row>
    <row r="13" spans="1:38" ht="15" customHeight="1" x14ac:dyDescent="0.25">
      <c r="B13" s="78"/>
      <c r="C13" s="81"/>
      <c r="D13" s="78"/>
      <c r="E13" s="80"/>
      <c r="F13" s="80"/>
      <c r="G13" s="77"/>
      <c r="H13" s="77"/>
      <c r="I13" s="35"/>
      <c r="J13" s="85"/>
      <c r="K13" s="57"/>
      <c r="L13" s="85"/>
      <c r="M13" s="80"/>
      <c r="N13" s="80"/>
      <c r="O13" s="75"/>
      <c r="P13" s="75"/>
      <c r="R13" s="17"/>
      <c r="T13" s="48" t="s">
        <v>47</v>
      </c>
      <c r="AA13" s="69"/>
      <c r="AB13" s="69"/>
      <c r="AC13" s="69"/>
    </row>
    <row r="14" spans="1:38" ht="15" customHeight="1" x14ac:dyDescent="0.25">
      <c r="B14" s="78"/>
      <c r="C14" s="81"/>
      <c r="D14" s="78"/>
      <c r="E14" s="80"/>
      <c r="F14" s="80"/>
      <c r="G14" s="77"/>
      <c r="H14" s="77"/>
      <c r="I14" s="35"/>
      <c r="J14" s="86"/>
      <c r="K14" s="58"/>
      <c r="L14" s="86"/>
      <c r="M14" s="80"/>
      <c r="N14" s="80"/>
      <c r="O14" s="76"/>
      <c r="P14" s="76"/>
      <c r="R14" s="17"/>
      <c r="AA14" s="69"/>
      <c r="AB14" s="69"/>
      <c r="AC14" s="69"/>
    </row>
    <row r="15" spans="1:38" ht="15" customHeight="1" x14ac:dyDescent="0.25">
      <c r="B15" s="34">
        <f>IF(DAY(Ne1Led)=1,IF(AND(YEAR(Ne1Led+15)=RokKalendáře,MONTH(Ne1Led+15)=1),Ne1Led+15,""),IF(AND(YEAR(Ne1Led+22)=RokKalendáře,MONTH(Ne1Led+22)=1),Ne1Led+22,""))</f>
        <v>45677</v>
      </c>
      <c r="C15" s="34">
        <f>IF(DAY(Ne1Led)=1,IF(AND(YEAR(Ne1Led+16)=RokKalendáře,MONTH(Ne1Led+16)=1),Ne1Led+16,""),IF(AND(YEAR(Ne1Led+23)=RokKalendáře,MONTH(Ne1Led+23)=1),Ne1Led+23,""))</f>
        <v>45678</v>
      </c>
      <c r="D15" s="34">
        <f>IF(DAY(Ne1Led)=1,IF(AND(YEAR(Ne1Led+17)=RokKalendáře,MONTH(Ne1Led+17)=1),Ne1Led+17,""),IF(AND(YEAR(Ne1Led+24)=RokKalendáře,MONTH(Ne1Led+24)=1),Ne1Led+24,""))</f>
        <v>45679</v>
      </c>
      <c r="E15" s="34">
        <v>23</v>
      </c>
      <c r="F15" s="34">
        <v>24</v>
      </c>
      <c r="G15" s="34">
        <f>IF(DAY(Ne1Led)=1,IF(AND(YEAR(Ne1Led+20)=RokKalendáře,MONTH(Ne1Led+20)=1),Ne1Led+20,""),IF(AND(YEAR(Ne1Led+27)=RokKalendáře,MONTH(Ne1Led+27)=1),Ne1Led+27,""))</f>
        <v>45682</v>
      </c>
      <c r="H15" s="34">
        <f>IF(DAY(Ne1Led)=1,IF(AND(YEAR(Ne1Led+21)=RokKalendáře,MONTH(Ne1Led+21)=1),Ne1Led+21,""),IF(AND(YEAR(Ne1Led+28)=RokKalendáře,MONTH(Ne1Led+28)=1),Ne1Led+28,""))</f>
        <v>45683</v>
      </c>
      <c r="I15" s="35"/>
      <c r="J15" s="34">
        <f>IF(DAY(Ne1Úno)=1,IF(AND(YEAR(Ne1Úno+15)=RokKalendáře,MONTH(Ne1Úno+15)=2),Ne1Úno+15,""),IF(AND(YEAR(Ne1Úno+22)=RokKalendáře,MONTH(Ne1Úno+22)=2),Ne1Úno+22,""))</f>
        <v>45705</v>
      </c>
      <c r="K15" s="34">
        <f>IF(DAY(Ne1Úno)=1,IF(AND(YEAR(Ne1Úno+16)=RokKalendáře,MONTH(Ne1Úno+16)=2),Ne1Úno+16,""),IF(AND(YEAR(Ne1Úno+23)=RokKalendáře,MONTH(Ne1Úno+23)=2),Ne1Úno+23,""))</f>
        <v>45706</v>
      </c>
      <c r="L15" s="34">
        <f>IF(DAY(Ne1Úno)=1,IF(AND(YEAR(Ne1Úno+17)=RokKalendáře,MONTH(Ne1Úno+17)=2),Ne1Úno+17,""),IF(AND(YEAR(Ne1Úno+24)=RokKalendáře,MONTH(Ne1Úno+24)=2),Ne1Úno+24,""))</f>
        <v>45707</v>
      </c>
      <c r="M15" s="34"/>
      <c r="N15" s="34"/>
      <c r="O15" s="34">
        <f>IF(DAY(Ne1Úno)=1,IF(AND(YEAR(Ne1Úno+20)=RokKalendáře,MONTH(Ne1Úno+20)=2),Ne1Úno+20,""),IF(AND(YEAR(Ne1Úno+27)=RokKalendáře,MONTH(Ne1Úno+27)=2),Ne1Úno+27,""))</f>
        <v>45710</v>
      </c>
      <c r="P15" s="34">
        <f>IF(DAY(Ne1Úno)=1,IF(AND(YEAR(Ne1Úno+21)=RokKalendáře,MONTH(Ne1Úno+21)=2),Ne1Úno+21,""),IF(AND(YEAR(Ne1Úno+28)=RokKalendáře,MONTH(Ne1Úno+28)=2),Ne1Úno+28,""))</f>
        <v>45711</v>
      </c>
      <c r="R15" s="17"/>
      <c r="T15" s="67"/>
      <c r="U15" t="s">
        <v>41</v>
      </c>
      <c r="W15" s="68"/>
      <c r="X15" t="s">
        <v>42</v>
      </c>
      <c r="AA15" s="69"/>
      <c r="AB15" s="69"/>
      <c r="AC15" s="69"/>
    </row>
    <row r="16" spans="1:38" ht="15" customHeight="1" x14ac:dyDescent="0.25">
      <c r="B16" s="78"/>
      <c r="C16" s="82"/>
      <c r="D16" s="78"/>
      <c r="E16" s="57"/>
      <c r="F16" s="83"/>
      <c r="G16" s="77"/>
      <c r="H16" s="77"/>
      <c r="I16" s="35"/>
      <c r="J16" s="85"/>
      <c r="K16" s="87"/>
      <c r="L16" s="85"/>
      <c r="M16" s="57"/>
      <c r="N16" s="83"/>
      <c r="O16" s="75"/>
      <c r="P16" s="75"/>
      <c r="R16" s="17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1:39" ht="15" customHeight="1" x14ac:dyDescent="0.25">
      <c r="B17" s="78"/>
      <c r="C17" s="82"/>
      <c r="D17" s="78"/>
      <c r="E17" s="58"/>
      <c r="F17" s="83"/>
      <c r="G17" s="77"/>
      <c r="H17" s="77"/>
      <c r="I17" s="35"/>
      <c r="J17" s="86"/>
      <c r="K17" s="88"/>
      <c r="L17" s="86"/>
      <c r="M17" s="58"/>
      <c r="N17" s="83"/>
      <c r="O17" s="76"/>
      <c r="P17" s="76"/>
      <c r="R17" s="17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1:39" ht="15" customHeight="1" x14ac:dyDescent="0.25">
      <c r="B18" s="34">
        <f>IF(DAY(Ne1Led)=1,IF(AND(YEAR(Ne1Led+22)=RokKalendáře,MONTH(Ne1Led+22)=1),Ne1Led+22,""),IF(AND(YEAR(Ne1Led+29)=RokKalendáře,MONTH(Ne1Led+29)=1),Ne1Led+29,""))</f>
        <v>45684</v>
      </c>
      <c r="C18" s="34">
        <f>IF(DAY(Ne1Led)=1,IF(AND(YEAR(Ne1Led+23)=RokKalendáře,MONTH(Ne1Led+23)=1),Ne1Led+23,""),IF(AND(YEAR(Ne1Led+30)=RokKalendáře,MONTH(Ne1Led+30)=1),Ne1Led+30,""))</f>
        <v>45685</v>
      </c>
      <c r="D18" s="34">
        <f>IF(DAY(Ne1Led)=1,IF(AND(YEAR(Ne1Led+24)=RokKalendáře,MONTH(Ne1Led+24)=1),Ne1Led+24,""),IF(AND(YEAR(Ne1Led+31)=RokKalendáře,MONTH(Ne1Led+31)=1),Ne1Led+31,""))</f>
        <v>45686</v>
      </c>
      <c r="E18" s="34">
        <f>IF(DAY(Ne1Led)=1,IF(AND(YEAR(Ne1Led+25)=RokKalendáře,MONTH(Ne1Led+25)=1),Ne1Led+25,""),IF(AND(YEAR(Ne1Led+32)=RokKalendáře,MONTH(Ne1Led+32)=1),Ne1Led+32,""))</f>
        <v>45687</v>
      </c>
      <c r="F18" s="34">
        <f>IF(DAY(Ne1Led)=1,IF(AND(YEAR(Ne1Led+26)=RokKalendáře,MONTH(Ne1Led+26)=1),Ne1Led+26,""),IF(AND(YEAR(Ne1Led+33)=RokKalendáře,MONTH(Ne1Led+33)=1),Ne1Led+33,""))</f>
        <v>45688</v>
      </c>
      <c r="G18" s="34"/>
      <c r="H18" s="34"/>
      <c r="I18" s="35"/>
      <c r="J18" s="34">
        <f>IF(DAY(Ne1Úno)=1,IF(AND(YEAR(Ne1Úno+22)=RokKalendáře,MONTH(Ne1Úno+22)=2),Ne1Úno+22,""),IF(AND(YEAR(Ne1Úno+29)=RokKalendáře,MONTH(Ne1Úno+29)=2),Ne1Úno+29,""))</f>
        <v>45712</v>
      </c>
      <c r="K18" s="34">
        <f>IF(DAY(Ne1Úno)=1,IF(AND(YEAR(Ne1Úno+23)=RokKalendáře,MONTH(Ne1Úno+23)=2),Ne1Úno+23,""),IF(AND(YEAR(Ne1Úno+30)=RokKalendáře,MONTH(Ne1Úno+30)=2),Ne1Úno+30,""))</f>
        <v>45713</v>
      </c>
      <c r="L18" s="34">
        <f>IF(DAY(Ne1Úno)=1,IF(AND(YEAR(Ne1Úno+24)=RokKalendáře,MONTH(Ne1Úno+24)=2),Ne1Úno+24,""),IF(AND(YEAR(Ne1Úno+31)=RokKalendáře,MONTH(Ne1Úno+31)=2),Ne1Úno+31,""))</f>
        <v>45714</v>
      </c>
      <c r="M18" s="34">
        <v>27</v>
      </c>
      <c r="N18" s="34">
        <v>28</v>
      </c>
      <c r="O18" s="34"/>
      <c r="P18" s="34"/>
      <c r="R18" s="17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1:39" ht="15" customHeight="1" x14ac:dyDescent="0.25">
      <c r="B19" s="78"/>
      <c r="C19" s="79"/>
      <c r="D19" s="78"/>
      <c r="E19" s="80" t="s">
        <v>36</v>
      </c>
      <c r="F19" s="80" t="s">
        <v>37</v>
      </c>
      <c r="G19" s="85"/>
      <c r="H19" s="85"/>
      <c r="I19" s="35"/>
      <c r="J19" s="85"/>
      <c r="K19" s="47"/>
      <c r="L19" s="85"/>
      <c r="M19" s="80"/>
      <c r="N19" s="80"/>
      <c r="O19" s="85"/>
      <c r="P19" s="85"/>
      <c r="R19" s="17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1:39" ht="15" customHeight="1" x14ac:dyDescent="0.25">
      <c r="B20" s="78"/>
      <c r="C20" s="79"/>
      <c r="D20" s="78"/>
      <c r="E20" s="80"/>
      <c r="F20" s="80"/>
      <c r="G20" s="86"/>
      <c r="H20" s="86"/>
      <c r="I20" s="35"/>
      <c r="J20" s="86"/>
      <c r="K20" s="37"/>
      <c r="L20" s="86"/>
      <c r="M20" s="80"/>
      <c r="N20" s="80"/>
      <c r="O20" s="86"/>
      <c r="P20" s="86"/>
      <c r="R20" s="17"/>
      <c r="U20" s="1"/>
      <c r="V20" s="1"/>
    </row>
    <row r="21" spans="1:39" ht="15" customHeight="1" x14ac:dyDescent="0.25">
      <c r="B21" s="14"/>
      <c r="C21" s="14"/>
      <c r="D21" s="14"/>
      <c r="E21" s="14"/>
      <c r="F21" s="14"/>
      <c r="G21" s="14"/>
      <c r="H21" s="14"/>
      <c r="I21" s="12"/>
      <c r="J21" s="12"/>
      <c r="K21" s="12"/>
      <c r="L21" s="12"/>
      <c r="M21" s="12"/>
      <c r="N21" s="12"/>
      <c r="O21" s="12"/>
      <c r="P21" s="12"/>
      <c r="R21" s="17"/>
      <c r="T21" s="59"/>
      <c r="U21" s="40"/>
      <c r="V21" s="40"/>
      <c r="W21" s="40"/>
      <c r="X21" s="40"/>
      <c r="Y21" s="40"/>
      <c r="Z21" s="40"/>
      <c r="AA21" s="40"/>
      <c r="AB21" s="40"/>
      <c r="AC21" s="40"/>
    </row>
    <row r="22" spans="1:39" ht="15" customHeight="1" x14ac:dyDescent="0.25">
      <c r="A22" s="9" t="s">
        <v>0</v>
      </c>
      <c r="B22" s="74" t="s">
        <v>16</v>
      </c>
      <c r="C22" s="74"/>
      <c r="D22" s="74"/>
      <c r="E22" s="74"/>
      <c r="F22" s="74"/>
      <c r="G22" s="74"/>
      <c r="H22" s="74"/>
      <c r="I22" s="13"/>
      <c r="J22" s="74" t="s">
        <v>28</v>
      </c>
      <c r="K22" s="74"/>
      <c r="L22" s="74"/>
      <c r="M22" s="74"/>
      <c r="N22" s="74"/>
      <c r="O22" s="74"/>
      <c r="P22" s="74"/>
      <c r="R22" s="17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13"/>
      <c r="AE22" s="13"/>
      <c r="AG22" s="13"/>
      <c r="AH22" s="13"/>
      <c r="AI22" s="13"/>
      <c r="AJ22" s="13"/>
      <c r="AK22" s="13"/>
      <c r="AL22" s="13"/>
      <c r="AM22" s="13"/>
    </row>
    <row r="23" spans="1:39" ht="15" customHeight="1" x14ac:dyDescent="0.25">
      <c r="A23" s="9" t="s">
        <v>1</v>
      </c>
      <c r="B23" s="32" t="s">
        <v>15</v>
      </c>
      <c r="C23" s="32" t="s">
        <v>21</v>
      </c>
      <c r="D23" s="32" t="s">
        <v>22</v>
      </c>
      <c r="E23" s="32" t="s">
        <v>23</v>
      </c>
      <c r="F23" s="32" t="s">
        <v>24</v>
      </c>
      <c r="G23" s="55" t="s">
        <v>25</v>
      </c>
      <c r="H23" s="55" t="s">
        <v>26</v>
      </c>
      <c r="I23" s="36"/>
      <c r="J23" s="32" t="s">
        <v>15</v>
      </c>
      <c r="K23" s="32" t="s">
        <v>21</v>
      </c>
      <c r="L23" s="32" t="s">
        <v>22</v>
      </c>
      <c r="M23" s="32" t="s">
        <v>23</v>
      </c>
      <c r="N23" s="32" t="s">
        <v>24</v>
      </c>
      <c r="O23" s="55" t="s">
        <v>25</v>
      </c>
      <c r="P23" s="55" t="s">
        <v>26</v>
      </c>
      <c r="R23" s="17"/>
      <c r="T23" s="94"/>
      <c r="U23" s="94"/>
      <c r="V23" s="94"/>
      <c r="W23" s="94"/>
      <c r="X23" s="94"/>
      <c r="Y23" s="94"/>
      <c r="Z23" s="94"/>
      <c r="AA23" s="94"/>
      <c r="AB23" s="94"/>
      <c r="AC23" s="94"/>
    </row>
    <row r="24" spans="1:39" ht="15" customHeight="1" x14ac:dyDescent="0.25">
      <c r="B24" s="34" t="str">
        <f>IF(DAY(Ne1Bře)=1,"",IF(AND(YEAR(Ne1Bře+1)=RokKalendáře,MONTH(Ne1Bře+1)=3),Ne1Bře+1,""))</f>
        <v/>
      </c>
      <c r="C24" s="34" t="str">
        <f>IF(DAY(Ne1Bře)=1,"",IF(AND(YEAR(Ne1Bře+2)=RokKalendáře,MONTH(Ne1Bře+2)=3),Ne1Bře+2,""))</f>
        <v/>
      </c>
      <c r="D24" s="34" t="str">
        <f>IF(DAY(Ne1Bře)=1,"",IF(AND(YEAR(Ne1Bře+3)=RokKalendáře,MONTH(Ne1Bře+3)=3),Ne1Bře+3,""))</f>
        <v/>
      </c>
      <c r="E24" s="34" t="str">
        <f>IF(DAY(Ne1Bře)=1,"",IF(AND(YEAR(Ne1Bře+4)=RokKalendáře,MONTH(Ne1Bře+4)=3),Ne1Bře+4,""))</f>
        <v/>
      </c>
      <c r="F24" s="34" t="str">
        <f>IF(DAY(Ne1Bře)=1,"",IF(AND(YEAR(Ne1Bře+5)=RokKalendáře,MONTH(Ne1Bře+5)=3),Ne1Bře+5,""))</f>
        <v/>
      </c>
      <c r="G24" s="34">
        <f>IF(DAY(Ne1Bře)=1,"",IF(AND(YEAR(Ne1Bře+6)=RokKalendáře,MONTH(Ne1Bře+6)=3),Ne1Bře+6,""))</f>
        <v>45717</v>
      </c>
      <c r="H24" s="34">
        <f>IF(DAY(Ne1Bře)=1,IF(AND(YEAR(Ne1Bře)=RokKalendáře,MONTH(Ne1Bře)=3),Ne1Bře,""),IF(AND(YEAR(Ne1Bře+7)=RokKalendáře,MONTH(Ne1Bře+7)=3),Ne1Bře+7,""))</f>
        <v>45718</v>
      </c>
      <c r="I24" s="33"/>
      <c r="J24" s="34" t="str">
        <f>IF(DAY(Ne1Dub)=1,"",IF(AND(YEAR(Ne1Dub+1)=RokKalendáře,MONTH(Ne1Dub+1)=4),Ne1Dub+1,""))</f>
        <v/>
      </c>
      <c r="K24" s="34">
        <f>IF(DAY(Ne1Dub)=1,"",IF(AND(YEAR(Ne1Dub+2)=RokKalendáře,MONTH(Ne1Dub+2)=4),Ne1Dub+2,""))</f>
        <v>45748</v>
      </c>
      <c r="L24" s="34">
        <f>IF(DAY(Ne1Dub)=1,"",IF(AND(YEAR(Ne1Dub+3)=RokKalendáře,MONTH(Ne1Dub+3)=4),Ne1Dub+3,""))</f>
        <v>45749</v>
      </c>
      <c r="M24" s="34">
        <f>IF(DAY(Ne1Dub)=1,"",IF(AND(YEAR(Ne1Dub+4)=RokKalendáře,MONTH(Ne1Dub+4)=4),Ne1Dub+4,""))</f>
        <v>45750</v>
      </c>
      <c r="N24" s="34">
        <f>IF(DAY(Ne1Dub)=1,"",IF(AND(YEAR(Ne1Dub+5)=RokKalendáře,MONTH(Ne1Dub+5)=4),Ne1Dub+5,""))</f>
        <v>45751</v>
      </c>
      <c r="O24" s="34">
        <f>IF(DAY(Ne1Dub)=1,"",IF(AND(YEAR(Ne1Dub+6)=RokKalendáře,MONTH(Ne1Dub+6)=4),Ne1Dub+6,""))</f>
        <v>45752</v>
      </c>
      <c r="P24" s="34">
        <f>IF(DAY(Ne1Dub)=1,IF(AND(YEAR(Ne1Dub)=RokKalendáře,MONTH(Ne1Dub)=4),Ne1Dub,""),IF(AND(YEAR(Ne1Dub+7)=RokKalendáře,MONTH(Ne1Dub+7)=4),Ne1Dub+7,""))</f>
        <v>45753</v>
      </c>
      <c r="R24" s="17"/>
      <c r="T24" s="94"/>
      <c r="U24" s="94"/>
      <c r="V24" s="94"/>
      <c r="W24" s="94"/>
      <c r="X24" s="94"/>
      <c r="Y24" s="94"/>
      <c r="Z24" s="94"/>
      <c r="AA24" s="94"/>
      <c r="AB24" s="94"/>
      <c r="AC24" s="94"/>
    </row>
    <row r="25" spans="1:39" ht="15" customHeight="1" x14ac:dyDescent="0.25">
      <c r="B25" s="85"/>
      <c r="C25" s="85"/>
      <c r="D25" s="85"/>
      <c r="E25" s="85"/>
      <c r="F25" s="85"/>
      <c r="G25" s="77"/>
      <c r="H25" s="77"/>
      <c r="I25" s="33"/>
      <c r="J25" s="85"/>
      <c r="K25" s="87"/>
      <c r="L25" s="85"/>
      <c r="M25" s="57"/>
      <c r="N25" s="83"/>
      <c r="O25" s="77"/>
      <c r="P25" s="77"/>
      <c r="R25" s="17"/>
      <c r="T25" s="94"/>
      <c r="U25" s="94"/>
      <c r="V25" s="94"/>
      <c r="W25" s="94"/>
      <c r="X25" s="94"/>
      <c r="Y25" s="94"/>
      <c r="Z25" s="94"/>
      <c r="AA25" s="94"/>
      <c r="AB25" s="94"/>
      <c r="AC25" s="94"/>
    </row>
    <row r="26" spans="1:39" ht="15" customHeight="1" x14ac:dyDescent="0.25">
      <c r="B26" s="86"/>
      <c r="C26" s="86"/>
      <c r="D26" s="86"/>
      <c r="E26" s="86"/>
      <c r="F26" s="86"/>
      <c r="G26" s="77"/>
      <c r="H26" s="77"/>
      <c r="I26" s="33"/>
      <c r="J26" s="86"/>
      <c r="K26" s="88"/>
      <c r="L26" s="86"/>
      <c r="M26" s="58"/>
      <c r="N26" s="83"/>
      <c r="O26" s="77"/>
      <c r="P26" s="77"/>
      <c r="R26" s="17"/>
      <c r="T26" s="94"/>
      <c r="U26" s="94"/>
      <c r="V26" s="94"/>
      <c r="W26" s="94"/>
      <c r="X26" s="94"/>
      <c r="Y26" s="94"/>
      <c r="Z26" s="94"/>
      <c r="AA26" s="94"/>
      <c r="AB26" s="94"/>
      <c r="AC26" s="94"/>
    </row>
    <row r="27" spans="1:39" ht="15" customHeight="1" x14ac:dyDescent="0.25">
      <c r="A27" s="9"/>
      <c r="B27" s="34">
        <f>IF(DAY(Ne1Bře)=1,IF(AND(YEAR(Ne1Bře+1)=RokKalendáře,MONTH(Ne1Bře+1)=3),Ne1Bře+1,""),IF(AND(YEAR(Ne1Bře+8)=RokKalendáře,MONTH(Ne1Bře+8)=3),Ne1Bře+8,""))</f>
        <v>45719</v>
      </c>
      <c r="C27" s="34">
        <f>IF(DAY(Ne1Bře)=1,IF(AND(YEAR(Ne1Bře+2)=RokKalendáře,MONTH(Ne1Bře+2)=3),Ne1Bře+2,""),IF(AND(YEAR(Ne1Bře+9)=RokKalendáře,MONTH(Ne1Bře+9)=3),Ne1Bře+9,""))</f>
        <v>45720</v>
      </c>
      <c r="D27" s="34">
        <f>IF(DAY(Ne1Bře)=1,IF(AND(YEAR(Ne1Bře+3)=RokKalendáře,MONTH(Ne1Bře+3)=3),Ne1Bře+3,""),IF(AND(YEAR(Ne1Bře+10)=RokKalendáře,MONTH(Ne1Bře+10)=3),Ne1Bře+10,""))</f>
        <v>45721</v>
      </c>
      <c r="E27" s="34">
        <f>IF(DAY(Ne1Bře)=1,IF(AND(YEAR(Ne1Bře+4)=RokKalendáře,MONTH(Ne1Bře+4)=3),Ne1Bře+4,""),IF(AND(YEAR(Ne1Bře+11)=RokKalendáře,MONTH(Ne1Bře+11)=3),Ne1Bře+11,""))</f>
        <v>45722</v>
      </c>
      <c r="F27" s="34">
        <f>IF(DAY(Ne1Bře)=1,IF(AND(YEAR(Ne1Bře+5)=RokKalendáře,MONTH(Ne1Bře+5)=3),Ne1Bře+5,""),IF(AND(YEAR(Ne1Bře+12)=RokKalendáře,MONTH(Ne1Bře+12)=3),Ne1Bře+12,""))</f>
        <v>45723</v>
      </c>
      <c r="G27" s="34">
        <f>IF(DAY(Ne1Bře)=1,IF(AND(YEAR(Ne1Bře+6)=RokKalendáře,MONTH(Ne1Bře+6)=3),Ne1Bře+6,""),IF(AND(YEAR(Ne1Bře+13)=RokKalendáře,MONTH(Ne1Bře+13)=3),Ne1Bře+13,""))</f>
        <v>45724</v>
      </c>
      <c r="H27" s="34">
        <f>IF(DAY(Ne1Bře)=1,IF(AND(YEAR(Ne1Bře+7)=RokKalendáře,MONTH(Ne1Bře+7)=3),Ne1Bře+7,""),IF(AND(YEAR(Ne1Bře+14)=RokKalendáře,MONTH(Ne1Bře+14)=3),Ne1Bře+14,""))</f>
        <v>45725</v>
      </c>
      <c r="I27" s="35"/>
      <c r="J27" s="34">
        <f>IF(DAY(Ne1Dub)=1,IF(AND(YEAR(Ne1Dub+1)=RokKalendáře,MONTH(Ne1Dub+1)=4),Ne1Dub+1,""),IF(AND(YEAR(Ne1Dub+8)=RokKalendáře,MONTH(Ne1Dub+8)=4),Ne1Dub+8,""))</f>
        <v>45754</v>
      </c>
      <c r="K27" s="34">
        <f>IF(DAY(Ne1Dub)=1,IF(AND(YEAR(Ne1Dub+2)=RokKalendáře,MONTH(Ne1Dub+2)=4),Ne1Dub+2,""),IF(AND(YEAR(Ne1Dub+9)=RokKalendáře,MONTH(Ne1Dub+9)=4),Ne1Dub+9,""))</f>
        <v>45755</v>
      </c>
      <c r="L27" s="34">
        <f>IF(DAY(Ne1Dub)=1,IF(AND(YEAR(Ne1Dub+3)=RokKalendáře,MONTH(Ne1Dub+3)=4),Ne1Dub+3,""),IF(AND(YEAR(Ne1Dub+10)=RokKalendáře,MONTH(Ne1Dub+10)=4),Ne1Dub+10,""))</f>
        <v>45756</v>
      </c>
      <c r="M27" s="34">
        <v>10</v>
      </c>
      <c r="N27" s="34">
        <v>11</v>
      </c>
      <c r="O27" s="34">
        <f>IF(DAY(Ne1Dub)=1,IF(AND(YEAR(Ne1Dub+6)=RokKalendáře,MONTH(Ne1Dub+6)=4),Ne1Dub+6,""),IF(AND(YEAR(Ne1Dub+13)=RokKalendáře,MONTH(Ne1Dub+13)=4),Ne1Dub+13,""))</f>
        <v>45759</v>
      </c>
      <c r="P27" s="34">
        <f>IF(DAY(Ne1Dub)=1,IF(AND(YEAR(Ne1Dub+7)=RokKalendáře,MONTH(Ne1Dub+7)=4),Ne1Dub+7,""),IF(AND(YEAR(Ne1Dub+14)=RokKalendáře,MONTH(Ne1Dub+14)=4),Ne1Dub+14,""))</f>
        <v>45760</v>
      </c>
      <c r="R27" s="17"/>
      <c r="T27" s="94"/>
      <c r="U27" s="94"/>
      <c r="V27" s="94"/>
      <c r="W27" s="94"/>
      <c r="X27" s="94"/>
      <c r="Y27" s="94"/>
      <c r="Z27" s="94"/>
      <c r="AA27" s="94"/>
      <c r="AB27" s="94"/>
      <c r="AC27" s="94"/>
    </row>
    <row r="28" spans="1:39" ht="15" customHeight="1" x14ac:dyDescent="0.25">
      <c r="A28" s="9"/>
      <c r="B28" s="85"/>
      <c r="C28" s="87"/>
      <c r="D28" s="85"/>
      <c r="E28" s="57"/>
      <c r="F28" s="83"/>
      <c r="G28" s="77"/>
      <c r="H28" s="77"/>
      <c r="I28" s="35"/>
      <c r="J28" s="85"/>
      <c r="K28" s="95"/>
      <c r="L28" s="85"/>
      <c r="M28" s="80"/>
      <c r="N28" s="80"/>
      <c r="O28" s="77"/>
      <c r="P28" s="77"/>
      <c r="R28" s="17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39" ht="15" customHeight="1" x14ac:dyDescent="0.25">
      <c r="A29" s="9"/>
      <c r="B29" s="86"/>
      <c r="C29" s="88"/>
      <c r="D29" s="86"/>
      <c r="E29" s="58"/>
      <c r="F29" s="83"/>
      <c r="G29" s="77"/>
      <c r="H29" s="77"/>
      <c r="I29" s="35"/>
      <c r="J29" s="86"/>
      <c r="K29" s="96"/>
      <c r="L29" s="86"/>
      <c r="M29" s="80"/>
      <c r="N29" s="80"/>
      <c r="O29" s="77"/>
      <c r="P29" s="77"/>
      <c r="R29" s="17"/>
      <c r="U29" s="28"/>
      <c r="V29" s="28"/>
      <c r="W29" s="28"/>
      <c r="X29" s="28"/>
      <c r="Y29" s="28"/>
      <c r="Z29" s="28"/>
      <c r="AA29" s="28"/>
      <c r="AB29" s="28"/>
    </row>
    <row r="30" spans="1:39" ht="15" customHeight="1" x14ac:dyDescent="0.25">
      <c r="B30" s="34">
        <f>IF(DAY(Ne1Bře)=1,IF(AND(YEAR(Ne1Bře+8)=RokKalendáře,MONTH(Ne1Bře+8)=3),Ne1Bře+8,""),IF(AND(YEAR(Ne1Bře+15)=RokKalendáře,MONTH(Ne1Bře+15)=3),Ne1Bře+15,""))</f>
        <v>45726</v>
      </c>
      <c r="C30" s="34">
        <f>IF(DAY(Ne1Bře)=1,IF(AND(YEAR(Ne1Bře+9)=RokKalendáře,MONTH(Ne1Bře+9)=3),Ne1Bře+9,""),IF(AND(YEAR(Ne1Bře+16)=RokKalendáře,MONTH(Ne1Bře+16)=3),Ne1Bře+16,""))</f>
        <v>45727</v>
      </c>
      <c r="D30" s="34">
        <f>IF(DAY(Ne1Bře)=1,IF(AND(YEAR(Ne1Bře+10)=RokKalendáře,MONTH(Ne1Bře+10)=3),Ne1Bře+10,""),IF(AND(YEAR(Ne1Bře+17)=RokKalendáře,MONTH(Ne1Bře+17)=3),Ne1Bře+17,""))</f>
        <v>45728</v>
      </c>
      <c r="E30" s="34">
        <v>13</v>
      </c>
      <c r="F30" s="34">
        <v>14</v>
      </c>
      <c r="G30" s="34">
        <f>IF(DAY(Ne1Bře)=1,IF(AND(YEAR(Ne1Bře+13)=RokKalendáře,MONTH(Ne1Bře+13)=3),Ne1Bře+13,""),IF(AND(YEAR(Ne1Bře+20)=RokKalendáře,MONTH(Ne1Bře+20)=3),Ne1Bře+20,""))</f>
        <v>45731</v>
      </c>
      <c r="H30" s="34">
        <f>IF(DAY(Ne1Bře)=1,IF(AND(YEAR(Ne1Bře+14)=RokKalendáře,MONTH(Ne1Bře+14)=3),Ne1Bře+14,""),IF(AND(YEAR(Ne1Bře+21)=RokKalendáře,MONTH(Ne1Bře+21)=3),Ne1Bře+21,""))</f>
        <v>45732</v>
      </c>
      <c r="I30" s="35"/>
      <c r="J30" s="34">
        <f>IF(DAY(Ne1Dub)=1,IF(AND(YEAR(Ne1Dub+8)=RokKalendáře,MONTH(Ne1Dub+8)=4),Ne1Dub+8,""),IF(AND(YEAR(Ne1Dub+15)=RokKalendáře,MONTH(Ne1Dub+15)=4),Ne1Dub+15,""))</f>
        <v>45761</v>
      </c>
      <c r="K30" s="34">
        <f>IF(DAY(Ne1Dub)=1,IF(AND(YEAR(Ne1Dub+9)=RokKalendáře,MONTH(Ne1Dub+9)=4),Ne1Dub+9,""),IF(AND(YEAR(Ne1Dub+16)=RokKalendáře,MONTH(Ne1Dub+16)=4),Ne1Dub+16,""))</f>
        <v>45762</v>
      </c>
      <c r="L30" s="34">
        <f>IF(DAY(Ne1Dub)=1,IF(AND(YEAR(Ne1Dub+10)=RokKalendáře,MONTH(Ne1Dub+10)=4),Ne1Dub+10,""),IF(AND(YEAR(Ne1Dub+17)=RokKalendáře,MONTH(Ne1Dub+17)=4),Ne1Dub+17,""))</f>
        <v>45763</v>
      </c>
      <c r="M30" s="34">
        <v>17</v>
      </c>
      <c r="N30" s="34">
        <v>18</v>
      </c>
      <c r="O30" s="34">
        <f>IF(DAY(Ne1Dub)=1,IF(AND(YEAR(Ne1Dub+13)=RokKalendáře,MONTH(Ne1Dub+13)=4),Ne1Dub+13,""),IF(AND(YEAR(Ne1Dub+20)=RokKalendáře,MONTH(Ne1Dub+20)=4),Ne1Dub+20,""))</f>
        <v>45766</v>
      </c>
      <c r="P30" s="34">
        <f>IF(DAY(Ne1Dub)=1,IF(AND(YEAR(Ne1Dub+14)=RokKalendáře,MONTH(Ne1Dub+14)=4),Ne1Dub+14,""),IF(AND(YEAR(Ne1Dub+21)=RokKalendáře,MONTH(Ne1Dub+21)=4),Ne1Dub+21,""))</f>
        <v>45767</v>
      </c>
      <c r="R30" s="17"/>
      <c r="T30" s="59"/>
      <c r="U30" s="56"/>
      <c r="V30" s="56"/>
      <c r="W30" s="56"/>
      <c r="X30" s="56"/>
      <c r="Y30" s="56"/>
      <c r="Z30" s="56"/>
      <c r="AA30" s="56"/>
      <c r="AB30" s="56"/>
      <c r="AC30" s="56"/>
    </row>
    <row r="31" spans="1:39" ht="15" customHeight="1" x14ac:dyDescent="0.25">
      <c r="B31" s="85"/>
      <c r="C31" s="85"/>
      <c r="D31" s="85"/>
      <c r="E31" s="80"/>
      <c r="F31" s="80"/>
      <c r="G31" s="77"/>
      <c r="H31" s="77"/>
      <c r="I31" s="35"/>
      <c r="J31" s="85"/>
      <c r="K31" s="87"/>
      <c r="L31" s="85"/>
      <c r="M31" s="57"/>
      <c r="N31" s="83"/>
      <c r="O31" s="77"/>
      <c r="P31" s="77"/>
      <c r="R31" s="17"/>
      <c r="T31" s="93"/>
      <c r="U31" s="93"/>
      <c r="V31" s="93"/>
      <c r="W31" s="93"/>
      <c r="X31" s="93"/>
      <c r="Y31" s="93"/>
      <c r="Z31" s="93"/>
      <c r="AA31" s="93"/>
      <c r="AB31" s="93"/>
      <c r="AC31" s="93"/>
    </row>
    <row r="32" spans="1:39" ht="15" customHeight="1" x14ac:dyDescent="0.25">
      <c r="B32" s="86"/>
      <c r="C32" s="86"/>
      <c r="D32" s="86"/>
      <c r="E32" s="80"/>
      <c r="F32" s="80"/>
      <c r="G32" s="77"/>
      <c r="H32" s="77"/>
      <c r="I32" s="35"/>
      <c r="J32" s="86"/>
      <c r="K32" s="88"/>
      <c r="L32" s="86"/>
      <c r="M32" s="58"/>
      <c r="N32" s="83"/>
      <c r="O32" s="77"/>
      <c r="P32" s="77"/>
      <c r="R32" s="17"/>
      <c r="T32" s="93"/>
      <c r="U32" s="93"/>
      <c r="V32" s="93"/>
      <c r="W32" s="93"/>
      <c r="X32" s="93"/>
      <c r="Y32" s="93"/>
      <c r="Z32" s="93"/>
      <c r="AA32" s="93"/>
      <c r="AB32" s="93"/>
      <c r="AC32" s="93"/>
    </row>
    <row r="33" spans="1:39" ht="15" customHeight="1" x14ac:dyDescent="0.25">
      <c r="B33" s="34">
        <f>IF(DAY(Ne1Bře)=1,IF(AND(YEAR(Ne1Bře+15)=RokKalendáře,MONTH(Ne1Bře+15)=3),Ne1Bře+15,""),IF(AND(YEAR(Ne1Bře+22)=RokKalendáře,MONTH(Ne1Bře+22)=3),Ne1Bře+22,""))</f>
        <v>45733</v>
      </c>
      <c r="C33" s="34">
        <f>IF(DAY(Ne1Bře)=1,IF(AND(YEAR(Ne1Bře+16)=RokKalendáře,MONTH(Ne1Bře+16)=3),Ne1Bře+16,""),IF(AND(YEAR(Ne1Bře+23)=RokKalendáře,MONTH(Ne1Bře+23)=3),Ne1Bře+23,""))</f>
        <v>45734</v>
      </c>
      <c r="D33" s="34">
        <f>IF(DAY(Ne1Bře)=1,IF(AND(YEAR(Ne1Bře+17)=RokKalendáře,MONTH(Ne1Bře+17)=3),Ne1Bře+17,""),IF(AND(YEAR(Ne1Bře+24)=RokKalendáře,MONTH(Ne1Bře+24)=3),Ne1Bře+24,""))</f>
        <v>45735</v>
      </c>
      <c r="E33" s="34">
        <v>20</v>
      </c>
      <c r="F33" s="34">
        <v>21</v>
      </c>
      <c r="G33" s="34">
        <f>IF(DAY(Ne1Bře)=1,IF(AND(YEAR(Ne1Bře+20)=RokKalendáře,MONTH(Ne1Bře+20)=3),Ne1Bře+20,""),IF(AND(YEAR(Ne1Bře+27)=RokKalendáře,MONTH(Ne1Bře+27)=3),Ne1Bře+27,""))</f>
        <v>45738</v>
      </c>
      <c r="H33" s="34">
        <f>IF(DAY(Ne1Bře)=1,IF(AND(YEAR(Ne1Bře+21)=RokKalendáře,MONTH(Ne1Bře+21)=3),Ne1Bře+21,""),IF(AND(YEAR(Ne1Bře+28)=RokKalendáře,MONTH(Ne1Bře+28)=3),Ne1Bře+28,""))</f>
        <v>45739</v>
      </c>
      <c r="I33" s="35"/>
      <c r="J33" s="34">
        <f>IF(DAY(Ne1Dub)=1,IF(AND(YEAR(Ne1Dub+15)=RokKalendáře,MONTH(Ne1Dub+15)=4),Ne1Dub+15,""),IF(AND(YEAR(Ne1Dub+22)=RokKalendáře,MONTH(Ne1Dub+22)=4),Ne1Dub+22,""))</f>
        <v>45768</v>
      </c>
      <c r="K33" s="34">
        <f>IF(DAY(Ne1Dub)=1,IF(AND(YEAR(Ne1Dub+16)=RokKalendáře,MONTH(Ne1Dub+16)=4),Ne1Dub+16,""),IF(AND(YEAR(Ne1Dub+23)=RokKalendáře,MONTH(Ne1Dub+23)=4),Ne1Dub+23,""))</f>
        <v>45769</v>
      </c>
      <c r="L33" s="34">
        <f>IF(DAY(Ne1Dub)=1,IF(AND(YEAR(Ne1Dub+17)=RokKalendáře,MONTH(Ne1Dub+17)=4),Ne1Dub+17,""),IF(AND(YEAR(Ne1Dub+24)=RokKalendáře,MONTH(Ne1Dub+24)=4),Ne1Dub+24,""))</f>
        <v>45770</v>
      </c>
      <c r="M33" s="34">
        <v>24</v>
      </c>
      <c r="N33" s="34">
        <v>25</v>
      </c>
      <c r="O33" s="34">
        <f>IF(DAY(Ne1Dub)=1,IF(AND(YEAR(Ne1Dub+20)=RokKalendáře,MONTH(Ne1Dub+20)=4),Ne1Dub+20,""),IF(AND(YEAR(Ne1Dub+27)=RokKalendáře,MONTH(Ne1Dub+27)=4),Ne1Dub+27,""))</f>
        <v>45773</v>
      </c>
      <c r="P33" s="34">
        <f>IF(DAY(Ne1Dub)=1,IF(AND(YEAR(Ne1Dub+21)=RokKalendáře,MONTH(Ne1Dub+21)=4),Ne1Dub+21,""),IF(AND(YEAR(Ne1Dub+28)=RokKalendáře,MONTH(Ne1Dub+28)=4),Ne1Dub+28,""))</f>
        <v>45774</v>
      </c>
      <c r="R33" s="17"/>
      <c r="T33" s="93"/>
      <c r="U33" s="93"/>
      <c r="V33" s="93"/>
      <c r="W33" s="93"/>
      <c r="X33" s="93"/>
      <c r="Y33" s="93"/>
      <c r="Z33" s="93"/>
      <c r="AA33" s="93"/>
      <c r="AB33" s="93"/>
      <c r="AC33" s="93"/>
    </row>
    <row r="34" spans="1:39" ht="15" customHeight="1" x14ac:dyDescent="0.25">
      <c r="B34" s="85"/>
      <c r="C34" s="87"/>
      <c r="D34" s="85"/>
      <c r="E34" s="57"/>
      <c r="F34" s="83"/>
      <c r="G34" s="77"/>
      <c r="H34" s="77"/>
      <c r="I34" s="35"/>
      <c r="J34" s="85"/>
      <c r="K34" s="89"/>
      <c r="L34" s="85"/>
      <c r="M34" s="80"/>
      <c r="N34" s="80"/>
      <c r="O34" s="77"/>
      <c r="P34" s="77"/>
      <c r="R34" s="17"/>
      <c r="T34" s="93"/>
      <c r="U34" s="93"/>
      <c r="V34" s="93"/>
      <c r="W34" s="93"/>
      <c r="X34" s="93"/>
      <c r="Y34" s="93"/>
      <c r="Z34" s="93"/>
      <c r="AA34" s="93"/>
      <c r="AB34" s="93"/>
      <c r="AC34" s="93"/>
    </row>
    <row r="35" spans="1:39" ht="15" customHeight="1" x14ac:dyDescent="0.25">
      <c r="B35" s="86"/>
      <c r="C35" s="88"/>
      <c r="D35" s="86"/>
      <c r="E35" s="58"/>
      <c r="F35" s="83"/>
      <c r="G35" s="77"/>
      <c r="H35" s="77"/>
      <c r="I35" s="35"/>
      <c r="J35" s="86"/>
      <c r="K35" s="90"/>
      <c r="L35" s="86"/>
      <c r="M35" s="80"/>
      <c r="N35" s="80"/>
      <c r="O35" s="77"/>
      <c r="P35" s="77"/>
      <c r="R35" s="17"/>
    </row>
    <row r="36" spans="1:39" ht="15" customHeight="1" x14ac:dyDescent="0.25">
      <c r="B36" s="34">
        <f>IF(DAY(Ne1Bře)=1,IF(AND(YEAR(Ne1Bře+22)=RokKalendáře,MONTH(Ne1Bře+22)=3),Ne1Bře+22,""),IF(AND(YEAR(Ne1Bře+29)=RokKalendáře,MONTH(Ne1Bře+29)=3),Ne1Bře+29,""))</f>
        <v>45740</v>
      </c>
      <c r="C36" s="34">
        <f>IF(DAY(Ne1Bře)=1,IF(AND(YEAR(Ne1Bře+23)=RokKalendáře,MONTH(Ne1Bře+23)=3),Ne1Bře+23,""),IF(AND(YEAR(Ne1Bře+30)=RokKalendáře,MONTH(Ne1Bře+30)=3),Ne1Bře+30,""))</f>
        <v>45741</v>
      </c>
      <c r="D36" s="34">
        <f>IF(DAY(Ne1Bře)=1,IF(AND(YEAR(Ne1Bře+24)=RokKalendáře,MONTH(Ne1Bře+24)=3),Ne1Bře+24,""),IF(AND(YEAR(Ne1Bře+31)=RokKalendáře,MONTH(Ne1Bře+31)=3),Ne1Bře+31,""))</f>
        <v>45742</v>
      </c>
      <c r="E36" s="34">
        <v>27</v>
      </c>
      <c r="F36" s="34">
        <v>28</v>
      </c>
      <c r="G36" s="34">
        <f>IF(DAY(Ne1Bře)=1,IF(AND(YEAR(Ne1Bře+27)=RokKalendáře,MONTH(Ne1Bře+27)=3),Ne1Bře+27,""),IF(AND(YEAR(Ne1Bře+34)=RokKalendáře,MONTH(Ne1Bře+34)=3),Ne1Bře+34,""))</f>
        <v>45745</v>
      </c>
      <c r="H36" s="34">
        <f>IF(DAY(Ne1Bře)=1,IF(AND(YEAR(Ne1Bře+28)=RokKalendáře,MONTH(Ne1Bře+28)=3),Ne1Bře+28,""),IF(AND(YEAR(Ne1Bře+35)=RokKalendáře,MONTH(Ne1Bře+35)=3),Ne1Bře+35,""))</f>
        <v>45746</v>
      </c>
      <c r="I36" s="35"/>
      <c r="J36" s="34">
        <f>IF(DAY(Ne1Dub)=1,IF(AND(YEAR(Ne1Dub+22)=RokKalendáře,MONTH(Ne1Dub+22)=4),Ne1Dub+22,""),IF(AND(YEAR(Ne1Dub+29)=RokKalendáře,MONTH(Ne1Dub+29)=4),Ne1Dub+29,""))</f>
        <v>45775</v>
      </c>
      <c r="K36" s="34">
        <f>IF(DAY(Ne1Dub)=1,IF(AND(YEAR(Ne1Dub+23)=RokKalendáře,MONTH(Ne1Dub+23)=4),Ne1Dub+23,""),IF(AND(YEAR(Ne1Dub+30)=RokKalendáře,MONTH(Ne1Dub+30)=4),Ne1Dub+30,""))</f>
        <v>45776</v>
      </c>
      <c r="L36" s="34">
        <f>IF(DAY(Ne1Dub)=1,IF(AND(YEAR(Ne1Dub+24)=RokKalendáře,MONTH(Ne1Dub+24)=4),Ne1Dub+24,""),IF(AND(YEAR(Ne1Dub+31)=RokKalendáře,MONTH(Ne1Dub+31)=4),Ne1Dub+31,""))</f>
        <v>45777</v>
      </c>
      <c r="M36" s="34"/>
      <c r="N36" s="34"/>
      <c r="O36" s="34"/>
      <c r="P36" s="34"/>
      <c r="R36" s="17"/>
      <c r="T36" s="59"/>
      <c r="U36" s="30"/>
      <c r="V36" s="30"/>
      <c r="W36" s="30"/>
      <c r="X36" s="30"/>
      <c r="Y36" s="30"/>
      <c r="Z36" s="30"/>
      <c r="AA36" s="30"/>
      <c r="AB36" s="30"/>
    </row>
    <row r="37" spans="1:39" ht="15" customHeight="1" x14ac:dyDescent="0.25">
      <c r="B37" s="85"/>
      <c r="C37" s="89"/>
      <c r="D37" s="85"/>
      <c r="E37" s="80"/>
      <c r="F37" s="80"/>
      <c r="G37" s="77"/>
      <c r="H37" s="77"/>
      <c r="I37" s="35"/>
      <c r="J37" s="85"/>
      <c r="K37" s="87"/>
      <c r="L37" s="85"/>
      <c r="M37" s="85"/>
      <c r="N37" s="85"/>
      <c r="O37" s="85"/>
      <c r="P37" s="85"/>
      <c r="R37" s="17"/>
      <c r="T37" s="91"/>
      <c r="U37" s="92"/>
      <c r="V37" s="92"/>
      <c r="W37" s="92"/>
      <c r="X37" s="92"/>
      <c r="Y37" s="92"/>
      <c r="Z37" s="92"/>
      <c r="AA37" s="92"/>
      <c r="AB37" s="92"/>
    </row>
    <row r="38" spans="1:39" ht="15" customHeight="1" x14ac:dyDescent="0.25">
      <c r="B38" s="86"/>
      <c r="C38" s="90"/>
      <c r="D38" s="86"/>
      <c r="E38" s="80"/>
      <c r="F38" s="80"/>
      <c r="G38" s="77"/>
      <c r="H38" s="77"/>
      <c r="I38" s="35"/>
      <c r="J38" s="86"/>
      <c r="K38" s="88"/>
      <c r="L38" s="86"/>
      <c r="M38" s="86"/>
      <c r="N38" s="86"/>
      <c r="O38" s="86"/>
      <c r="P38" s="86"/>
      <c r="R38" s="17"/>
      <c r="T38" s="92"/>
      <c r="U38" s="92"/>
      <c r="V38" s="92"/>
      <c r="W38" s="92"/>
      <c r="X38" s="92"/>
      <c r="Y38" s="92"/>
      <c r="Z38" s="92"/>
      <c r="AA38" s="92"/>
      <c r="AB38" s="92"/>
    </row>
    <row r="39" spans="1:39" ht="15" customHeight="1" x14ac:dyDescent="0.25">
      <c r="B39" s="34">
        <f>IF(DAY(Ne1Bře)=1,IF(AND(YEAR(Ne1Bře+29)=RokKalendáře,MONTH(Ne1Bře+29)=3),Ne1Bře+29,""),IF(AND(YEAR(Ne1Bře+36)=RokKalendáře,MONTH(Ne1Bře+36)=3),Ne1Bře+36,""))</f>
        <v>45747</v>
      </c>
      <c r="C39" s="34"/>
      <c r="D39" s="34"/>
      <c r="E39" s="34"/>
      <c r="F39" s="34"/>
      <c r="G39" s="34"/>
      <c r="H39" s="34"/>
      <c r="I39" s="35"/>
      <c r="J39" s="38" t="str">
        <f>IF(DAY(Ne1Dub)=1,IF(AND(YEAR(Ne1Dub+29)=RokKalendáře,MONTH(Ne1Dub+29)=4),Ne1Dub+29,""),IF(AND(YEAR(Ne1Dub+36)=RokKalendáře,MONTH(Ne1Dub+36)=4),Ne1Dub+36,""))</f>
        <v/>
      </c>
      <c r="K39" s="38" t="str">
        <f>IF(DAY(Ne1Dub)=1,IF(AND(YEAR(Ne1Dub+30)=RokKalendáře,MONTH(Ne1Dub+30)=4),Ne1Dub+30,""),IF(AND(YEAR(Ne1Dub+37)=RokKalendáře,MONTH(Ne1Dub+37)=4),Ne1Dub+37,""))</f>
        <v/>
      </c>
      <c r="L39" s="38" t="str">
        <f>IF(DAY(Ne1Dub)=1,IF(AND(YEAR(Ne1Dub+31)=RokKalendáře,MONTH(Ne1Dub+31)=4),Ne1Dub+31,""),IF(AND(YEAR(Ne1Dub+38)=RokKalendáře,MONTH(Ne1Dub+38)=4),Ne1Dub+38,""))</f>
        <v/>
      </c>
      <c r="M39" s="38" t="str">
        <f>IF(DAY(Ne1Dub)=1,IF(AND(YEAR(Ne1Dub+32)=RokKalendáře,MONTH(Ne1Dub+32)=4),Ne1Dub+32,""),IF(AND(YEAR(Ne1Dub+39)=RokKalendáře,MONTH(Ne1Dub+39)=4),Ne1Dub+39,""))</f>
        <v/>
      </c>
      <c r="N39" s="38" t="str">
        <f>IF(DAY(Ne1Dub)=1,IF(AND(YEAR(Ne1Dub+33)=RokKalendáře,MONTH(Ne1Dub+33)=4),Ne1Dub+33,""),IF(AND(YEAR(Ne1Dub+40)=RokKalendáře,MONTH(Ne1Dub+40)=4),Ne1Dub+40,""))</f>
        <v/>
      </c>
      <c r="O39" s="38" t="str">
        <f>IF(DAY(Ne1Dub)=1,IF(AND(YEAR(Ne1Dub+34)=RokKalendáře,MONTH(Ne1Dub+34)=4),Ne1Dub+34,""),IF(AND(YEAR(Ne1Dub+41)=RokKalendáře,MONTH(Ne1Dub+41)=4),Ne1Dub+41,""))</f>
        <v/>
      </c>
      <c r="P39" s="38" t="str">
        <f>IF(DAY(Ne1Dub)=1,IF(AND(YEAR(Ne1Dub+35)=RokKalendáře,MONTH(Ne1Dub+35)=4),Ne1Dub+35,""),IF(AND(YEAR(Ne1Dub+42)=RokKalendáře,MONTH(Ne1Dub+42)=4),Ne1Dub+42,""))</f>
        <v/>
      </c>
      <c r="R39" s="17"/>
    </row>
    <row r="40" spans="1:39" ht="15" customHeight="1" x14ac:dyDescent="0.25">
      <c r="B40" s="85"/>
      <c r="C40" s="85"/>
      <c r="D40" s="85"/>
      <c r="E40" s="85"/>
      <c r="F40" s="85"/>
      <c r="G40" s="85"/>
      <c r="H40" s="85"/>
      <c r="I40" s="35"/>
      <c r="J40" s="38"/>
      <c r="K40" s="38"/>
      <c r="L40" s="38"/>
      <c r="M40" s="38"/>
      <c r="N40" s="38"/>
      <c r="O40" s="38"/>
      <c r="P40" s="38"/>
      <c r="R40" s="17"/>
      <c r="T40" s="6"/>
      <c r="U40" s="1"/>
      <c r="V40" s="1"/>
    </row>
    <row r="41" spans="1:39" ht="15" customHeight="1" x14ac:dyDescent="0.25">
      <c r="B41" s="86"/>
      <c r="C41" s="86"/>
      <c r="D41" s="86"/>
      <c r="E41" s="86"/>
      <c r="F41" s="86"/>
      <c r="G41" s="86"/>
      <c r="H41" s="86"/>
      <c r="I41" s="35"/>
      <c r="J41" s="39"/>
      <c r="K41" s="39"/>
      <c r="L41" s="39"/>
      <c r="M41" s="39"/>
      <c r="N41" s="39"/>
      <c r="O41" s="39"/>
      <c r="P41" s="39"/>
      <c r="R41" s="17"/>
      <c r="U41" s="1"/>
      <c r="V41" s="1"/>
    </row>
    <row r="42" spans="1:39" ht="15" customHeight="1" x14ac:dyDescent="0.2">
      <c r="B42" s="24"/>
      <c r="C42" s="24"/>
      <c r="D42" s="24"/>
      <c r="E42" s="24"/>
      <c r="F42" s="24"/>
      <c r="G42" s="24"/>
      <c r="H42" s="24"/>
      <c r="I42" s="12"/>
      <c r="R42" s="17"/>
      <c r="T42" s="3"/>
      <c r="U42" s="1"/>
      <c r="V42" s="1"/>
    </row>
    <row r="43" spans="1:39" ht="15" customHeight="1" x14ac:dyDescent="0.25">
      <c r="A43" s="9" t="s">
        <v>2</v>
      </c>
      <c r="B43" s="74" t="s">
        <v>17</v>
      </c>
      <c r="C43" s="74"/>
      <c r="D43" s="74"/>
      <c r="E43" s="74"/>
      <c r="F43" s="74"/>
      <c r="G43" s="74"/>
      <c r="H43" s="74"/>
      <c r="I43" s="12"/>
      <c r="J43" s="74" t="s">
        <v>29</v>
      </c>
      <c r="K43" s="74"/>
      <c r="L43" s="74"/>
      <c r="M43" s="74"/>
      <c r="N43" s="74"/>
      <c r="O43" s="74"/>
      <c r="P43" s="74"/>
      <c r="R43" s="17"/>
      <c r="T43" s="48"/>
      <c r="U43" s="1"/>
      <c r="V43" s="1"/>
      <c r="W43" s="13"/>
      <c r="X43" s="13"/>
      <c r="Z43" s="13"/>
      <c r="AA43" s="13"/>
      <c r="AB43" s="13"/>
      <c r="AC43" s="13"/>
      <c r="AD43" s="13"/>
      <c r="AE43" s="13"/>
      <c r="AG43" s="13"/>
      <c r="AH43" s="13"/>
      <c r="AI43" s="13"/>
      <c r="AJ43" s="13"/>
      <c r="AK43" s="13"/>
      <c r="AL43" s="13"/>
      <c r="AM43" s="13"/>
    </row>
    <row r="44" spans="1:39" ht="15" customHeight="1" x14ac:dyDescent="0.25">
      <c r="A44" s="9" t="s">
        <v>3</v>
      </c>
      <c r="B44" s="32" t="s">
        <v>15</v>
      </c>
      <c r="C44" s="32" t="s">
        <v>21</v>
      </c>
      <c r="D44" s="32" t="s">
        <v>22</v>
      </c>
      <c r="E44" s="32" t="s">
        <v>23</v>
      </c>
      <c r="F44" s="32" t="s">
        <v>24</v>
      </c>
      <c r="G44" s="32" t="s">
        <v>25</v>
      </c>
      <c r="H44" s="32" t="s">
        <v>26</v>
      </c>
      <c r="I44" s="46"/>
      <c r="J44" s="32" t="s">
        <v>15</v>
      </c>
      <c r="K44" s="32" t="s">
        <v>21</v>
      </c>
      <c r="L44" s="32" t="s">
        <v>22</v>
      </c>
      <c r="M44" s="32" t="s">
        <v>23</v>
      </c>
      <c r="N44" s="32" t="s">
        <v>24</v>
      </c>
      <c r="O44" s="32" t="s">
        <v>25</v>
      </c>
      <c r="P44" s="32" t="s">
        <v>26</v>
      </c>
      <c r="R44" s="17"/>
      <c r="T44" s="41"/>
      <c r="U44" s="22"/>
      <c r="V44" s="22"/>
      <c r="W44" s="22"/>
      <c r="X44" s="22"/>
      <c r="Y44" s="22"/>
      <c r="Z44" s="22"/>
      <c r="AA44" s="22"/>
      <c r="AB44" s="22"/>
      <c r="AC44" s="22"/>
    </row>
    <row r="45" spans="1:39" ht="15" customHeight="1" x14ac:dyDescent="0.25">
      <c r="A45" s="9"/>
      <c r="B45" s="34" t="str">
        <f>IF(DAY(Ne1Kvě)=1,"",IF(AND(YEAR(Ne1Kvě+1)=RokKalendáře,MONTH(Ne1Kvě+1)=5),Ne1Kvě+1,""))</f>
        <v/>
      </c>
      <c r="C45" s="34" t="str">
        <f>IF(DAY(Ne1Kvě)=1,"",IF(AND(YEAR(Ne1Kvě+2)=RokKalendáře,MONTH(Ne1Kvě+2)=5),Ne1Kvě+2,""))</f>
        <v/>
      </c>
      <c r="D45" s="34" t="str">
        <f>IF(DAY(Ne1Kvě)=1,"",IF(AND(YEAR(Ne1Kvě+3)=RokKalendáře,MONTH(Ne1Kvě+3)=5),Ne1Kvě+3,""))</f>
        <v/>
      </c>
      <c r="E45" s="34">
        <f>IF(DAY(Ne1Kvě)=1,"",IF(AND(YEAR(Ne1Kvě+4)=RokKalendáře,MONTH(Ne1Kvě+4)=5),Ne1Kvě+4,""))</f>
        <v>45778</v>
      </c>
      <c r="F45" s="34">
        <f>IF(DAY(Ne1Kvě)=1,"",IF(AND(YEAR(Ne1Kvě+5)=RokKalendáře,MONTH(Ne1Kvě+5)=5),Ne1Kvě+5,""))</f>
        <v>45779</v>
      </c>
      <c r="G45" s="34">
        <f>IF(DAY(Ne1Kvě)=1,"",IF(AND(YEAR(Ne1Kvě+6)=RokKalendáře,MONTH(Ne1Kvě+6)=5),Ne1Kvě+6,""))</f>
        <v>45780</v>
      </c>
      <c r="H45" s="34">
        <f>IF(DAY(Ne1Kvě)=1,IF(AND(YEAR(Ne1Kvě)=RokKalendáře,MONTH(Ne1Kvě)=5),Ne1Kvě,""),IF(AND(YEAR(Ne1Kvě+7)=RokKalendáře,MONTH(Ne1Kvě+7)=5),Ne1Kvě+7,""))</f>
        <v>45781</v>
      </c>
      <c r="I45" s="36"/>
      <c r="J45" s="34" t="str">
        <f>IF(DAY(Ne1Čer)=1,"",IF(AND(YEAR(Ne1Čer+1)=RokKalendáře,MONTH(Ne1Čer+1)=6),Ne1Čer+1,""))</f>
        <v/>
      </c>
      <c r="K45" s="34" t="str">
        <f>IF(DAY(Ne1Čer)=1,"",IF(AND(YEAR(Ne1Čer+2)=RokKalendáře,MONTH(Ne1Čer+2)=6),Ne1Čer+2,""))</f>
        <v/>
      </c>
      <c r="L45" s="34" t="str">
        <f>IF(DAY(Ne1Čer)=1,"",IF(AND(YEAR(Ne1Čer+3)=RokKalendáře,MONTH(Ne1Čer+3)=6),Ne1Čer+3,""))</f>
        <v/>
      </c>
      <c r="M45" s="34" t="str">
        <f>IF(DAY(Ne1Čer)=1,"",IF(AND(YEAR(Ne1Čer+4)=RokKalendáře,MONTH(Ne1Čer+4)=6),Ne1Čer+4,""))</f>
        <v/>
      </c>
      <c r="N45" s="34" t="str">
        <f>IF(DAY(Ne1Čer)=1,"",IF(AND(YEAR(Ne1Čer+5)=RokKalendáře,MONTH(Ne1Čer+5)=6),Ne1Čer+5,""))</f>
        <v/>
      </c>
      <c r="O45" s="34" t="str">
        <f>IF(DAY(Ne1Čer)=1,"",IF(AND(YEAR(Ne1Čer+6)=RokKalendáře,MONTH(Ne1Čer+6)=6),Ne1Čer+6,""))</f>
        <v/>
      </c>
      <c r="P45" s="34">
        <f>IF(DAY(Ne1Čer)=1,IF(AND(YEAR(Ne1Čer)=RokKalendáře,MONTH(Ne1Čer)=6),Ne1Čer,""),IF(AND(YEAR(Ne1Čer+7)=RokKalendáře,MONTH(Ne1Čer+7)=6),Ne1Čer+7,""))</f>
        <v>45809</v>
      </c>
      <c r="R45" s="17"/>
    </row>
    <row r="46" spans="1:39" ht="15" customHeight="1" x14ac:dyDescent="0.25">
      <c r="A46" s="9"/>
      <c r="B46" s="85"/>
      <c r="C46" s="85"/>
      <c r="D46" s="85"/>
      <c r="E46" s="57"/>
      <c r="F46" s="83"/>
      <c r="G46" s="77"/>
      <c r="H46" s="77"/>
      <c r="I46" s="36"/>
      <c r="J46" s="85"/>
      <c r="K46" s="85"/>
      <c r="L46" s="85"/>
      <c r="M46" s="85"/>
      <c r="N46" s="85"/>
      <c r="O46" s="85"/>
      <c r="P46" s="77"/>
      <c r="R46" s="17"/>
      <c r="T46" s="39"/>
      <c r="U46" s="33"/>
      <c r="V46" s="33"/>
      <c r="W46" s="39"/>
      <c r="X46" s="39"/>
      <c r="Y46" s="39"/>
    </row>
    <row r="47" spans="1:39" ht="15" customHeight="1" x14ac:dyDescent="0.25">
      <c r="A47" s="9"/>
      <c r="B47" s="86"/>
      <c r="C47" s="86"/>
      <c r="D47" s="86"/>
      <c r="E47" s="58"/>
      <c r="F47" s="83"/>
      <c r="G47" s="77"/>
      <c r="H47" s="77"/>
      <c r="I47" s="36"/>
      <c r="J47" s="86"/>
      <c r="K47" s="86"/>
      <c r="L47" s="86"/>
      <c r="M47" s="86"/>
      <c r="N47" s="86"/>
      <c r="O47" s="86"/>
      <c r="P47" s="77"/>
      <c r="R47" s="17"/>
      <c r="T47" s="39"/>
      <c r="U47" s="33"/>
      <c r="V47" s="33"/>
      <c r="W47" s="39"/>
      <c r="X47" s="39"/>
      <c r="Y47" s="39"/>
    </row>
    <row r="48" spans="1:39" ht="15" customHeight="1" x14ac:dyDescent="0.25">
      <c r="B48" s="34">
        <f>IF(DAY(Ne1Kvě)=1,IF(AND(YEAR(Ne1Kvě+1)=RokKalendáře,MONTH(Ne1Kvě+1)=5),Ne1Kvě+1,""),IF(AND(YEAR(Ne1Kvě+8)=RokKalendáře,MONTH(Ne1Kvě+8)=5),Ne1Kvě+8,""))</f>
        <v>45782</v>
      </c>
      <c r="C48" s="34">
        <f>IF(DAY(Ne1Kvě)=1,IF(AND(YEAR(Ne1Kvě+2)=RokKalendáře,MONTH(Ne1Kvě+2)=5),Ne1Kvě+2,""),IF(AND(YEAR(Ne1Kvě+9)=RokKalendáře,MONTH(Ne1Kvě+9)=5),Ne1Kvě+9,""))</f>
        <v>45783</v>
      </c>
      <c r="D48" s="34">
        <f>IF(DAY(Ne1Kvě)=1,IF(AND(YEAR(Ne1Kvě+3)=RokKalendáře,MONTH(Ne1Kvě+3)=5),Ne1Kvě+3,""),IF(AND(YEAR(Ne1Kvě+10)=RokKalendáře,MONTH(Ne1Kvě+10)=5),Ne1Kvě+10,""))</f>
        <v>45784</v>
      </c>
      <c r="E48" s="34">
        <v>8</v>
      </c>
      <c r="F48" s="34">
        <v>9</v>
      </c>
      <c r="G48" s="34">
        <f>IF(DAY(Ne1Kvě)=1,IF(AND(YEAR(Ne1Kvě+6)=RokKalendáře,MONTH(Ne1Kvě+6)=5),Ne1Kvě+6,""),IF(AND(YEAR(Ne1Kvě+13)=RokKalendáře,MONTH(Ne1Kvě+13)=5),Ne1Kvě+13,""))</f>
        <v>45787</v>
      </c>
      <c r="H48" s="34">
        <f>IF(DAY(Ne1Kvě)=1,IF(AND(YEAR(Ne1Kvě+7)=RokKalendáře,MONTH(Ne1Kvě+7)=5),Ne1Kvě+7,""),IF(AND(YEAR(Ne1Kvě+14)=RokKalendáře,MONTH(Ne1Kvě+14)=5),Ne1Kvě+14,""))</f>
        <v>45788</v>
      </c>
      <c r="I48" s="33"/>
      <c r="J48" s="34">
        <f>IF(DAY(Ne1Čer)=1,IF(AND(YEAR(Ne1Čer+1)=RokKalendáře,MONTH(Ne1Čer+1)=6),Ne1Čer+1,""),IF(AND(YEAR(Ne1Čer+8)=RokKalendáře,MONTH(Ne1Čer+8)=6),Ne1Čer+8,""))</f>
        <v>45810</v>
      </c>
      <c r="K48" s="34">
        <f>IF(DAY(Ne1Čer)=1,IF(AND(YEAR(Ne1Čer+2)=RokKalendáře,MONTH(Ne1Čer+2)=6),Ne1Čer+2,""),IF(AND(YEAR(Ne1Čer+9)=RokKalendáře,MONTH(Ne1Čer+9)=6),Ne1Čer+9,""))</f>
        <v>45811</v>
      </c>
      <c r="L48" s="34">
        <f>IF(DAY(Ne1Čer)=1,IF(AND(YEAR(Ne1Čer+3)=RokKalendáře,MONTH(Ne1Čer+3)=6),Ne1Čer+3,""),IF(AND(YEAR(Ne1Čer+10)=RokKalendáře,MONTH(Ne1Čer+10)=6),Ne1Čer+10,""))</f>
        <v>45812</v>
      </c>
      <c r="M48" s="34">
        <f>IF(DAY(Ne1Čer)=1,IF(AND(YEAR(Ne1Čer+4)=RokKalendáře,MONTH(Ne1Čer+4)=6),Ne1Čer+4,""),IF(AND(YEAR(Ne1Čer+11)=RokKalendáře,MONTH(Ne1Čer+11)=6),Ne1Čer+11,""))</f>
        <v>45813</v>
      </c>
      <c r="N48" s="34">
        <f>IF(DAY(Ne1Čer)=1,IF(AND(YEAR(Ne1Čer+5)=RokKalendáře,MONTH(Ne1Čer+5)=6),Ne1Čer+5,""),IF(AND(YEAR(Ne1Čer+12)=RokKalendáře,MONTH(Ne1Čer+12)=6),Ne1Čer+12,""))</f>
        <v>45814</v>
      </c>
      <c r="O48" s="34">
        <f>IF(DAY(Ne1Čer)=1,IF(AND(YEAR(Ne1Čer+6)=RokKalendáře,MONTH(Ne1Čer+6)=6),Ne1Čer+6,""),IF(AND(YEAR(Ne1Čer+13)=RokKalendáře,MONTH(Ne1Čer+13)=6),Ne1Čer+13,""))</f>
        <v>45815</v>
      </c>
      <c r="P48" s="34">
        <f>IF(DAY(Ne1Čer)=1,IF(AND(YEAR(Ne1Čer+7)=RokKalendáře,MONTH(Ne1Čer+7)=6),Ne1Čer+7,""),IF(AND(YEAR(Ne1Čer+14)=RokKalendáře,MONTH(Ne1Čer+14)=6),Ne1Čer+14,""))</f>
        <v>45816</v>
      </c>
      <c r="R48" s="17"/>
      <c r="T48" s="42"/>
      <c r="U48" s="33"/>
      <c r="V48" s="33"/>
      <c r="W48" s="39"/>
      <c r="X48" s="39"/>
      <c r="Y48" s="39"/>
    </row>
    <row r="49" spans="2:30" ht="15" customHeight="1" x14ac:dyDescent="0.25">
      <c r="B49" s="85"/>
      <c r="C49" s="57"/>
      <c r="D49" s="85"/>
      <c r="E49" s="80"/>
      <c r="F49" s="80"/>
      <c r="G49" s="77"/>
      <c r="H49" s="77"/>
      <c r="I49" s="33"/>
      <c r="J49" s="85"/>
      <c r="K49" s="85"/>
      <c r="L49" s="85"/>
      <c r="M49" s="80"/>
      <c r="N49" s="80"/>
      <c r="O49" s="77"/>
      <c r="P49" s="77"/>
      <c r="R49" s="17"/>
      <c r="T49" s="39"/>
      <c r="U49" s="33"/>
      <c r="V49" s="33"/>
      <c r="W49" s="39"/>
      <c r="X49" s="39"/>
      <c r="Y49" s="39"/>
    </row>
    <row r="50" spans="2:30" ht="15" customHeight="1" x14ac:dyDescent="0.25">
      <c r="B50" s="86"/>
      <c r="C50" s="58"/>
      <c r="D50" s="86"/>
      <c r="E50" s="80"/>
      <c r="F50" s="80"/>
      <c r="G50" s="77"/>
      <c r="H50" s="77"/>
      <c r="I50" s="33"/>
      <c r="J50" s="86"/>
      <c r="K50" s="86"/>
      <c r="L50" s="86"/>
      <c r="M50" s="80"/>
      <c r="N50" s="80"/>
      <c r="O50" s="77"/>
      <c r="P50" s="77"/>
      <c r="R50" s="17"/>
      <c r="T50" s="39"/>
      <c r="U50" s="33"/>
      <c r="V50" s="33"/>
      <c r="W50" s="39"/>
      <c r="X50" s="39"/>
      <c r="Y50" s="39"/>
    </row>
    <row r="51" spans="2:30" ht="15" customHeight="1" x14ac:dyDescent="0.25">
      <c r="B51" s="34">
        <f>IF(DAY(Ne1Kvě)=1,IF(AND(YEAR(Ne1Kvě+8)=RokKalendáře,MONTH(Ne1Kvě+8)=5),Ne1Kvě+8,""),IF(AND(YEAR(Ne1Kvě+15)=RokKalendáře,MONTH(Ne1Kvě+15)=5),Ne1Kvě+15,""))</f>
        <v>45789</v>
      </c>
      <c r="C51" s="34">
        <f>IF(DAY(Ne1Kvě)=1,IF(AND(YEAR(Ne1Kvě+9)=RokKalendáře,MONTH(Ne1Kvě+9)=5),Ne1Kvě+9,""),IF(AND(YEAR(Ne1Kvě+16)=RokKalendáře,MONTH(Ne1Kvě+16)=5),Ne1Kvě+16,""))</f>
        <v>45790</v>
      </c>
      <c r="D51" s="34">
        <f>IF(DAY(Ne1Kvě)=1,IF(AND(YEAR(Ne1Kvě+10)=RokKalendáře,MONTH(Ne1Kvě+10)=5),Ne1Kvě+10,""),IF(AND(YEAR(Ne1Kvě+17)=RokKalendáře,MONTH(Ne1Kvě+17)=5),Ne1Kvě+17,""))</f>
        <v>45791</v>
      </c>
      <c r="E51" s="34">
        <v>15</v>
      </c>
      <c r="F51" s="34">
        <v>16</v>
      </c>
      <c r="G51" s="34">
        <f>IF(DAY(Ne1Kvě)=1,IF(AND(YEAR(Ne1Kvě+13)=RokKalendáře,MONTH(Ne1Kvě+13)=5),Ne1Kvě+13,""),IF(AND(YEAR(Ne1Kvě+20)=RokKalendáře,MONTH(Ne1Kvě+20)=5),Ne1Kvě+20,""))</f>
        <v>45794</v>
      </c>
      <c r="H51" s="34">
        <f>IF(DAY(Ne1Kvě)=1,IF(AND(YEAR(Ne1Kvě+14)=RokKalendáře,MONTH(Ne1Kvě+14)=5),Ne1Kvě+14,""),IF(AND(YEAR(Ne1Kvě+21)=RokKalendáře,MONTH(Ne1Kvě+21)=5),Ne1Kvě+21,""))</f>
        <v>45795</v>
      </c>
      <c r="I51" s="35"/>
      <c r="J51" s="34">
        <f>IF(DAY(Ne1Čer)=1,IF(AND(YEAR(Ne1Čer+8)=RokKalendáře,MONTH(Ne1Čer+8)=6),Ne1Čer+8,""),IF(AND(YEAR(Ne1Čer+15)=RokKalendáře,MONTH(Ne1Čer+15)=6),Ne1Čer+15,""))</f>
        <v>45817</v>
      </c>
      <c r="K51" s="34">
        <f>IF(DAY(Ne1Čer)=1,IF(AND(YEAR(Ne1Čer+9)=RokKalendáře,MONTH(Ne1Čer+9)=6),Ne1Čer+9,""),IF(AND(YEAR(Ne1Čer+16)=RokKalendáře,MONTH(Ne1Čer+16)=6),Ne1Čer+16,""))</f>
        <v>45818</v>
      </c>
      <c r="L51" s="34">
        <f>IF(DAY(Ne1Čer)=1,IF(AND(YEAR(Ne1Čer+10)=RokKalendáře,MONTH(Ne1Čer+10)=6),Ne1Čer+10,""),IF(AND(YEAR(Ne1Čer+17)=RokKalendáře,MONTH(Ne1Čer+17)=6),Ne1Čer+17,""))</f>
        <v>45819</v>
      </c>
      <c r="M51" s="34">
        <v>12</v>
      </c>
      <c r="N51" s="34">
        <v>13</v>
      </c>
      <c r="O51" s="34">
        <f>IF(DAY(Ne1Čer)=1,IF(AND(YEAR(Ne1Čer+13)=RokKalendáře,MONTH(Ne1Čer+13)=6),Ne1Čer+13,""),IF(AND(YEAR(Ne1Čer+20)=RokKalendáře,MONTH(Ne1Čer+20)=6),Ne1Čer+20,""))</f>
        <v>45822</v>
      </c>
      <c r="P51" s="34">
        <f>IF(DAY(Ne1Čer)=1,IF(AND(YEAR(Ne1Čer+14)=RokKalendáře,MONTH(Ne1Čer+14)=6),Ne1Čer+14,""),IF(AND(YEAR(Ne1Čer+21)=RokKalendáře,MONTH(Ne1Čer+21)=6),Ne1Čer+21,""))</f>
        <v>45823</v>
      </c>
      <c r="R51" s="17"/>
      <c r="T51" s="43"/>
      <c r="U51" s="33"/>
      <c r="V51" s="33"/>
      <c r="W51" s="39"/>
      <c r="X51" s="39"/>
      <c r="Y51" s="39"/>
    </row>
    <row r="52" spans="2:30" ht="15" customHeight="1" x14ac:dyDescent="0.25">
      <c r="B52" s="85"/>
      <c r="C52" s="87"/>
      <c r="D52" s="85"/>
      <c r="E52" s="57"/>
      <c r="F52" s="83"/>
      <c r="G52" s="77"/>
      <c r="H52" s="77"/>
      <c r="I52" s="35"/>
      <c r="J52" s="85"/>
      <c r="K52" s="87"/>
      <c r="L52" s="85"/>
      <c r="M52" s="57"/>
      <c r="N52" s="83"/>
      <c r="O52" s="77"/>
      <c r="P52" s="77"/>
      <c r="R52" s="17"/>
      <c r="T52" s="44"/>
      <c r="U52" s="33"/>
      <c r="V52" s="33"/>
      <c r="W52" s="39"/>
      <c r="X52" s="39"/>
      <c r="Y52" s="39"/>
    </row>
    <row r="53" spans="2:30" ht="15" customHeight="1" x14ac:dyDescent="0.25">
      <c r="B53" s="86"/>
      <c r="C53" s="88"/>
      <c r="D53" s="86"/>
      <c r="E53" s="58"/>
      <c r="F53" s="83"/>
      <c r="G53" s="77"/>
      <c r="H53" s="77"/>
      <c r="I53" s="35"/>
      <c r="J53" s="86"/>
      <c r="K53" s="88"/>
      <c r="L53" s="86"/>
      <c r="M53" s="58"/>
      <c r="N53" s="83"/>
      <c r="O53" s="77"/>
      <c r="P53" s="77"/>
      <c r="R53" s="17"/>
      <c r="T53" s="6"/>
      <c r="U53" s="1"/>
      <c r="V53" s="1"/>
    </row>
    <row r="54" spans="2:30" ht="15" customHeight="1" x14ac:dyDescent="0.25">
      <c r="B54" s="34">
        <f>IF(DAY(Ne1Kvě)=1,IF(AND(YEAR(Ne1Kvě+15)=RokKalendáře,MONTH(Ne1Kvě+15)=5),Ne1Kvě+15,""),IF(AND(YEAR(Ne1Kvě+22)=RokKalendáře,MONTH(Ne1Kvě+22)=5),Ne1Kvě+22,""))</f>
        <v>45796</v>
      </c>
      <c r="C54" s="34">
        <f>IF(DAY(Ne1Kvě)=1,IF(AND(YEAR(Ne1Kvě+16)=RokKalendáře,MONTH(Ne1Kvě+16)=5),Ne1Kvě+16,""),IF(AND(YEAR(Ne1Kvě+23)=RokKalendáře,MONTH(Ne1Kvě+23)=5),Ne1Kvě+23,""))</f>
        <v>45797</v>
      </c>
      <c r="D54" s="34">
        <f>IF(DAY(Ne1Kvě)=1,IF(AND(YEAR(Ne1Kvě+17)=RokKalendáře,MONTH(Ne1Kvě+17)=5),Ne1Kvě+17,""),IF(AND(YEAR(Ne1Kvě+24)=RokKalendáře,MONTH(Ne1Kvě+24)=5),Ne1Kvě+24,""))</f>
        <v>45798</v>
      </c>
      <c r="E54" s="34">
        <v>22</v>
      </c>
      <c r="F54" s="34">
        <v>23</v>
      </c>
      <c r="G54" s="34">
        <f>IF(DAY(Ne1Kvě)=1,IF(AND(YEAR(Ne1Kvě+20)=RokKalendáře,MONTH(Ne1Kvě+20)=5),Ne1Kvě+20,""),IF(AND(YEAR(Ne1Kvě+27)=RokKalendáře,MONTH(Ne1Kvě+27)=5),Ne1Kvě+27,""))</f>
        <v>45801</v>
      </c>
      <c r="H54" s="34">
        <f>IF(DAY(Ne1Kvě)=1,IF(AND(YEAR(Ne1Kvě+21)=RokKalendáře,MONTH(Ne1Kvě+21)=5),Ne1Kvě+21,""),IF(AND(YEAR(Ne1Kvě+28)=RokKalendáře,MONTH(Ne1Kvě+28)=5),Ne1Kvě+28,""))</f>
        <v>45802</v>
      </c>
      <c r="I54" s="35"/>
      <c r="J54" s="34">
        <f>IF(DAY(Ne1Čer)=1,IF(AND(YEAR(Ne1Čer+15)=RokKalendáře,MONTH(Ne1Čer+15)=6),Ne1Čer+15,""),IF(AND(YEAR(Ne1Čer+22)=RokKalendáře,MONTH(Ne1Čer+22)=6),Ne1Čer+22,""))</f>
        <v>45824</v>
      </c>
      <c r="K54" s="34">
        <f>IF(DAY(Ne1Čer)=1,IF(AND(YEAR(Ne1Čer+16)=RokKalendáře,MONTH(Ne1Čer+16)=6),Ne1Čer+16,""),IF(AND(YEAR(Ne1Čer+23)=RokKalendáře,MONTH(Ne1Čer+23)=6),Ne1Čer+23,""))</f>
        <v>45825</v>
      </c>
      <c r="L54" s="34">
        <f>IF(DAY(Ne1Čer)=1,IF(AND(YEAR(Ne1Čer+17)=RokKalendáře,MONTH(Ne1Čer+17)=6),Ne1Čer+17,""),IF(AND(YEAR(Ne1Čer+24)=RokKalendáře,MONTH(Ne1Čer+24)=6),Ne1Čer+24,""))</f>
        <v>45826</v>
      </c>
      <c r="M54" s="34">
        <v>19</v>
      </c>
      <c r="N54" s="34">
        <v>20</v>
      </c>
      <c r="O54" s="34">
        <f>IF(DAY(Ne1Čer)=1,IF(AND(YEAR(Ne1Čer+20)=RokKalendáře,MONTH(Ne1Čer+20)=6),Ne1Čer+20,""),IF(AND(YEAR(Ne1Čer+27)=RokKalendáře,MONTH(Ne1Čer+27)=6),Ne1Čer+27,""))</f>
        <v>45829</v>
      </c>
      <c r="P54" s="34">
        <f>IF(DAY(Ne1Čer)=1,IF(AND(YEAR(Ne1Čer+21)=RokKalendáře,MONTH(Ne1Čer+21)=6),Ne1Čer+21,""),IF(AND(YEAR(Ne1Čer+28)=RokKalendáře,MONTH(Ne1Čer+28)=6),Ne1Čer+28,""))</f>
        <v>45830</v>
      </c>
      <c r="R54" s="17"/>
      <c r="T54" s="3"/>
      <c r="U54" s="1"/>
      <c r="V54" s="1"/>
    </row>
    <row r="55" spans="2:30" ht="15" customHeight="1" x14ac:dyDescent="0.25">
      <c r="B55" s="85"/>
      <c r="C55" s="47"/>
      <c r="D55" s="85"/>
      <c r="E55" s="80"/>
      <c r="F55" s="80"/>
      <c r="G55" s="77"/>
      <c r="H55" s="77"/>
      <c r="I55" s="35"/>
      <c r="J55" s="85"/>
      <c r="K55" s="89"/>
      <c r="L55" s="85"/>
      <c r="M55" s="80"/>
      <c r="N55" s="80"/>
      <c r="O55" s="77"/>
      <c r="P55" s="77"/>
      <c r="R55" s="17"/>
      <c r="T55" s="3"/>
      <c r="U55" s="1"/>
      <c r="V55" s="1"/>
    </row>
    <row r="56" spans="2:30" ht="15" customHeight="1" x14ac:dyDescent="0.25">
      <c r="B56" s="86"/>
      <c r="C56" s="37"/>
      <c r="D56" s="86"/>
      <c r="E56" s="80"/>
      <c r="F56" s="80"/>
      <c r="G56" s="77"/>
      <c r="H56" s="77"/>
      <c r="I56" s="35"/>
      <c r="J56" s="86"/>
      <c r="K56" s="90"/>
      <c r="L56" s="86"/>
      <c r="M56" s="80"/>
      <c r="N56" s="80"/>
      <c r="O56" s="77"/>
      <c r="P56" s="77"/>
      <c r="R56" s="17"/>
      <c r="T56" s="3"/>
      <c r="U56" s="1"/>
      <c r="V56" s="1"/>
    </row>
    <row r="57" spans="2:30" ht="15" customHeight="1" x14ac:dyDescent="0.25">
      <c r="B57" s="34">
        <f>IF(DAY(Ne1Kvě)=1,IF(AND(YEAR(Ne1Kvě+22)=RokKalendáře,MONTH(Ne1Kvě+22)=5),Ne1Kvě+22,""),IF(AND(YEAR(Ne1Kvě+29)=RokKalendáře,MONTH(Ne1Kvě+29)=5),Ne1Kvě+29,""))</f>
        <v>45803</v>
      </c>
      <c r="C57" s="34">
        <f>IF(DAY(Ne1Kvě)=1,IF(AND(YEAR(Ne1Kvě+23)=RokKalendáře,MONTH(Ne1Kvě+23)=5),Ne1Kvě+23,""),IF(AND(YEAR(Ne1Kvě+30)=RokKalendáře,MONTH(Ne1Kvě+30)=5),Ne1Kvě+30,""))</f>
        <v>45804</v>
      </c>
      <c r="D57" s="34">
        <f>IF(DAY(Ne1Kvě)=1,IF(AND(YEAR(Ne1Kvě+24)=RokKalendáře,MONTH(Ne1Kvě+24)=5),Ne1Kvě+24,""),IF(AND(YEAR(Ne1Kvě+31)=RokKalendáře,MONTH(Ne1Kvě+31)=5),Ne1Kvě+31,""))</f>
        <v>45805</v>
      </c>
      <c r="E57" s="34">
        <v>29</v>
      </c>
      <c r="F57" s="34">
        <v>30</v>
      </c>
      <c r="G57" s="34">
        <f>IF(DAY(Ne1Kvě)=1,IF(AND(YEAR(Ne1Kvě+27)=RokKalendáře,MONTH(Ne1Kvě+27)=5),Ne1Kvě+27,""),IF(AND(YEAR(Ne1Kvě+34)=RokKalendáře,MONTH(Ne1Kvě+34)=5),Ne1Kvě+34,""))</f>
        <v>45808</v>
      </c>
      <c r="H57" s="34"/>
      <c r="I57" s="35"/>
      <c r="J57" s="34">
        <f>IF(DAY(Ne1Čer)=1,IF(AND(YEAR(Ne1Čer+22)=RokKalendáře,MONTH(Ne1Čer+22)=6),Ne1Čer+22,""),IF(AND(YEAR(Ne1Čer+29)=RokKalendáře,MONTH(Ne1Čer+29)=6),Ne1Čer+29,""))</f>
        <v>45831</v>
      </c>
      <c r="K57" s="34">
        <f>IF(DAY(Ne1Čer)=1,IF(AND(YEAR(Ne1Čer+23)=RokKalendáře,MONTH(Ne1Čer+23)=6),Ne1Čer+23,""),IF(AND(YEAR(Ne1Čer+30)=RokKalendáře,MONTH(Ne1Čer+30)=6),Ne1Čer+30,""))</f>
        <v>45832</v>
      </c>
      <c r="L57" s="34">
        <f>IF(DAY(Ne1Čer)=1,IF(AND(YEAR(Ne1Čer+24)=RokKalendáře,MONTH(Ne1Čer+24)=6),Ne1Čer+24,""),IF(AND(YEAR(Ne1Čer+31)=RokKalendáře,MONTH(Ne1Čer+31)=6),Ne1Čer+31,""))</f>
        <v>45833</v>
      </c>
      <c r="M57" s="34">
        <v>26</v>
      </c>
      <c r="N57" s="34">
        <v>27</v>
      </c>
      <c r="O57" s="34">
        <f>IF(DAY(Ne1Čer)=1,IF(AND(YEAR(Ne1Čer+27)=RokKalendáře,MONTH(Ne1Čer+27)=6),Ne1Čer+27,""),IF(AND(YEAR(Ne1Čer+34)=RokKalendáře,MONTH(Ne1Čer+34)=6),Ne1Čer+34,""))</f>
        <v>45836</v>
      </c>
      <c r="P57" s="34">
        <f>IF(DAY(Ne1Čer)=1,IF(AND(YEAR(Ne1Čer+28)=RokKalendáře,MONTH(Ne1Čer+28)=6),Ne1Čer+28,""),IF(AND(YEAR(Ne1Čer+35)=RokKalendáře,MONTH(Ne1Čer+35)=6),Ne1Čer+35,""))</f>
        <v>45837</v>
      </c>
      <c r="R57" s="17"/>
      <c r="T57" s="4"/>
      <c r="U57" s="1"/>
      <c r="V57" s="1"/>
    </row>
    <row r="58" spans="2:30" ht="15" customHeight="1" x14ac:dyDescent="0.25">
      <c r="B58" s="85"/>
      <c r="C58" s="87"/>
      <c r="D58" s="85"/>
      <c r="E58" s="57"/>
      <c r="F58" s="83"/>
      <c r="G58" s="77"/>
      <c r="H58" s="85"/>
      <c r="I58" s="35"/>
      <c r="J58" s="85"/>
      <c r="K58" s="87"/>
      <c r="L58" s="85"/>
      <c r="M58" s="57"/>
      <c r="N58" s="83"/>
      <c r="O58" s="77"/>
      <c r="P58" s="77"/>
      <c r="R58" s="17"/>
      <c r="T58" s="4"/>
      <c r="U58" s="1"/>
      <c r="V58" s="1"/>
    </row>
    <row r="59" spans="2:30" ht="15" customHeight="1" x14ac:dyDescent="0.25">
      <c r="B59" s="86"/>
      <c r="C59" s="88"/>
      <c r="D59" s="86"/>
      <c r="E59" s="58"/>
      <c r="F59" s="83"/>
      <c r="G59" s="77"/>
      <c r="H59" s="86"/>
      <c r="I59" s="35"/>
      <c r="J59" s="86"/>
      <c r="K59" s="88"/>
      <c r="L59" s="86"/>
      <c r="M59" s="58"/>
      <c r="N59" s="83"/>
      <c r="O59" s="77"/>
      <c r="P59" s="77"/>
      <c r="R59" s="17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2:30" ht="15" customHeight="1" x14ac:dyDescent="0.25">
      <c r="B60" s="38" t="str">
        <f>IF(DAY(Ne1Kvě)=1,IF(AND(YEAR(Ne1Kvě+29)=RokKalendáře,MONTH(Ne1Kvě+29)=5),Ne1Kvě+29,""),IF(AND(YEAR(Ne1Kvě+36)=RokKalendáře,MONTH(Ne1Kvě+36)=5),Ne1Kvě+36,""))</f>
        <v/>
      </c>
      <c r="C60" s="38" t="str">
        <f>IF(DAY(Ne1Kvě)=1,IF(AND(YEAR(Ne1Kvě+30)=RokKalendáře,MONTH(Ne1Kvě+30)=5),Ne1Kvě+30,""),IF(AND(YEAR(Ne1Kvě+37)=RokKalendáře,MONTH(Ne1Kvě+37)=5),Ne1Kvě+37,""))</f>
        <v/>
      </c>
      <c r="D60" s="38" t="str">
        <f>IF(DAY(Ne1Kvě)=1,IF(AND(YEAR(Ne1Kvě+31)=RokKalendáře,MONTH(Ne1Kvě+31)=5),Ne1Kvě+31,""),IF(AND(YEAR(Ne1Kvě+38)=RokKalendáře,MONTH(Ne1Kvě+38)=5),Ne1Kvě+38,""))</f>
        <v/>
      </c>
      <c r="E60" s="38" t="str">
        <f>IF(DAY(Ne1Kvě)=1,IF(AND(YEAR(Ne1Kvě+32)=RokKalendáře,MONTH(Ne1Kvě+32)=5),Ne1Kvě+32,""),IF(AND(YEAR(Ne1Kvě+39)=RokKalendáře,MONTH(Ne1Kvě+39)=5),Ne1Kvě+39,""))</f>
        <v/>
      </c>
      <c r="F60" s="38" t="str">
        <f>IF(DAY(Ne1Kvě)=1,IF(AND(YEAR(Ne1Kvě+33)=RokKalendáře,MONTH(Ne1Kvě+33)=5),Ne1Kvě+33,""),IF(AND(YEAR(Ne1Kvě+40)=RokKalendáře,MONTH(Ne1Kvě+40)=5),Ne1Kvě+40,""))</f>
        <v/>
      </c>
      <c r="G60" s="38" t="str">
        <f>IF(DAY(Ne1Kvě)=1,IF(AND(YEAR(Ne1Kvě+34)=RokKalendáře,MONTH(Ne1Kvě+34)=5),Ne1Kvě+34,""),IF(AND(YEAR(Ne1Kvě+41)=RokKalendáře,MONTH(Ne1Kvě+41)=5),Ne1Kvě+41,""))</f>
        <v/>
      </c>
      <c r="H60" s="38" t="str">
        <f>IF(DAY(Ne1Kvě)=1,IF(AND(YEAR(Ne1Kvě+35)=RokKalendáře,MONTH(Ne1Kvě+35)=5),Ne1Kvě+35,""),IF(AND(YEAR(Ne1Kvě+42)=RokKalendáře,MONTH(Ne1Kvě+42)=5),Ne1Kvě+42,""))</f>
        <v/>
      </c>
      <c r="I60" s="35"/>
      <c r="J60" s="34">
        <f>IF(DAY(Ne1Čer)=1,IF(AND(YEAR(Ne1Čer+29)=RokKalendáře,MONTH(Ne1Čer+29)=6),Ne1Čer+29,""),IF(AND(YEAR(Ne1Čer+36)=RokKalendáře,MONTH(Ne1Čer+36)=6),Ne1Čer+36,""))</f>
        <v>45838</v>
      </c>
      <c r="K60" s="34"/>
      <c r="L60" s="34"/>
      <c r="M60" s="34"/>
      <c r="N60" s="34"/>
      <c r="O60" s="34"/>
      <c r="P60" s="34"/>
      <c r="R60" s="17"/>
      <c r="T60" s="45"/>
    </row>
    <row r="61" spans="2:30" ht="15" customHeight="1" x14ac:dyDescent="0.25">
      <c r="B61" s="38"/>
      <c r="C61" s="38"/>
      <c r="D61" s="38"/>
      <c r="E61" s="38"/>
      <c r="F61" s="38"/>
      <c r="G61" s="38"/>
      <c r="H61" s="38"/>
      <c r="I61" s="35"/>
      <c r="J61" s="85"/>
      <c r="K61" s="85"/>
      <c r="L61" s="85"/>
      <c r="M61" s="85"/>
      <c r="N61" s="85"/>
      <c r="O61" s="85"/>
      <c r="P61" s="85"/>
      <c r="R61" s="17"/>
      <c r="T61" s="45"/>
    </row>
    <row r="62" spans="2:30" ht="15" customHeight="1" x14ac:dyDescent="0.3">
      <c r="B62" s="39"/>
      <c r="C62" s="39"/>
      <c r="D62" s="39"/>
      <c r="E62" s="39"/>
      <c r="F62" s="39"/>
      <c r="G62" s="39"/>
      <c r="H62" s="39"/>
      <c r="I62" s="35"/>
      <c r="J62" s="86"/>
      <c r="K62" s="86"/>
      <c r="L62" s="86"/>
      <c r="M62" s="86"/>
      <c r="N62" s="86"/>
      <c r="O62" s="86"/>
      <c r="P62" s="86"/>
      <c r="R62" s="17"/>
      <c r="T62" s="18"/>
    </row>
    <row r="63" spans="2:30" ht="15" customHeight="1" x14ac:dyDescent="0.3">
      <c r="B63" s="39"/>
      <c r="C63" s="39"/>
      <c r="D63" s="39"/>
      <c r="E63" s="39"/>
      <c r="F63" s="39"/>
      <c r="G63" s="39"/>
      <c r="H63" s="39"/>
      <c r="I63" s="35"/>
      <c r="J63" s="38"/>
      <c r="K63" s="38"/>
      <c r="L63" s="38"/>
      <c r="M63" s="38"/>
      <c r="N63" s="38"/>
      <c r="O63" s="38"/>
      <c r="P63" s="38"/>
      <c r="R63" s="54"/>
      <c r="T63" s="18"/>
    </row>
    <row r="64" spans="2:30" ht="15" customHeight="1" x14ac:dyDescent="0.3">
      <c r="B64" s="39"/>
      <c r="C64" s="39"/>
      <c r="D64" s="39"/>
      <c r="E64" s="39"/>
      <c r="F64" s="39"/>
      <c r="G64" s="39"/>
      <c r="H64" s="39"/>
      <c r="I64" s="35"/>
      <c r="J64" s="38"/>
      <c r="K64" s="38"/>
      <c r="L64" s="38"/>
      <c r="M64" s="38"/>
      <c r="N64" s="38"/>
      <c r="O64" s="38"/>
      <c r="P64" s="38"/>
      <c r="R64" s="54"/>
      <c r="T64" s="18"/>
    </row>
    <row r="65" spans="1:30" ht="45.75" customHeight="1" x14ac:dyDescent="0.3">
      <c r="B65" s="39"/>
      <c r="C65" s="39"/>
      <c r="D65" s="39"/>
      <c r="E65" s="39"/>
      <c r="F65" s="39"/>
      <c r="G65" s="39"/>
      <c r="H65" s="39"/>
      <c r="I65" s="35"/>
      <c r="J65" s="38"/>
      <c r="K65" s="38"/>
      <c r="L65" s="38"/>
      <c r="M65" s="38"/>
      <c r="N65" s="38"/>
      <c r="O65" s="38"/>
      <c r="P65" s="38"/>
      <c r="R65" s="54"/>
      <c r="T65" s="18"/>
    </row>
    <row r="66" spans="1:30" ht="30" customHeight="1" x14ac:dyDescent="0.2">
      <c r="A66" s="8"/>
      <c r="B66" s="20" t="s">
        <v>34</v>
      </c>
      <c r="C66" s="15"/>
      <c r="D66" s="15"/>
      <c r="E66" s="15"/>
      <c r="F66" s="16"/>
      <c r="G66" s="17"/>
      <c r="H66" s="17"/>
      <c r="I66" s="15"/>
      <c r="J66" s="15"/>
      <c r="K66" s="97">
        <f>RokKalendáře</f>
        <v>2025</v>
      </c>
      <c r="L66" s="97"/>
      <c r="M66" s="97"/>
      <c r="N66" s="97"/>
      <c r="O66" s="17"/>
      <c r="P66" s="17"/>
      <c r="Q66" s="17"/>
      <c r="R66" s="15"/>
      <c r="S66" s="15"/>
      <c r="T66" s="49" t="s">
        <v>33</v>
      </c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5" customHeight="1" x14ac:dyDescent="0.2">
      <c r="B67" s="31"/>
      <c r="C67" s="31"/>
      <c r="D67" s="31"/>
      <c r="E67" s="31"/>
      <c r="F67" s="31"/>
      <c r="G67" s="31"/>
      <c r="H67" s="31"/>
      <c r="I67" s="19"/>
      <c r="J67" s="31"/>
      <c r="K67" s="31"/>
      <c r="L67" s="31"/>
      <c r="M67" s="31"/>
      <c r="N67" s="31"/>
      <c r="O67" s="31"/>
      <c r="P67" s="31"/>
      <c r="R67" s="17"/>
      <c r="T67" s="3"/>
      <c r="U67" s="1"/>
      <c r="V67" s="1"/>
    </row>
    <row r="68" spans="1:30" ht="15" customHeight="1" x14ac:dyDescent="0.25">
      <c r="A68" s="9" t="s">
        <v>4</v>
      </c>
      <c r="B68" s="74" t="s">
        <v>18</v>
      </c>
      <c r="C68" s="74"/>
      <c r="D68" s="74"/>
      <c r="E68" s="74"/>
      <c r="F68" s="74"/>
      <c r="G68" s="74"/>
      <c r="H68" s="74"/>
      <c r="I68" s="12"/>
      <c r="J68" s="74" t="s">
        <v>30</v>
      </c>
      <c r="K68" s="74"/>
      <c r="L68" s="74"/>
      <c r="M68" s="74"/>
      <c r="N68" s="74"/>
      <c r="O68" s="74"/>
      <c r="P68" s="74"/>
      <c r="R68" s="17"/>
      <c r="T68" s="7"/>
      <c r="U68" s="23"/>
      <c r="V68" s="1"/>
    </row>
    <row r="69" spans="1:30" ht="15" customHeight="1" x14ac:dyDescent="0.25">
      <c r="A69" s="9" t="s">
        <v>5</v>
      </c>
      <c r="B69" s="53" t="s">
        <v>15</v>
      </c>
      <c r="C69" s="53" t="s">
        <v>21</v>
      </c>
      <c r="D69" s="53" t="s">
        <v>22</v>
      </c>
      <c r="E69" s="53" t="s">
        <v>23</v>
      </c>
      <c r="F69" s="53" t="s">
        <v>24</v>
      </c>
      <c r="G69" s="53" t="s">
        <v>25</v>
      </c>
      <c r="H69" s="53" t="s">
        <v>26</v>
      </c>
      <c r="I69" s="12"/>
      <c r="J69" s="53" t="s">
        <v>15</v>
      </c>
      <c r="K69" s="53" t="s">
        <v>21</v>
      </c>
      <c r="L69" s="53" t="s">
        <v>22</v>
      </c>
      <c r="M69" s="53" t="s">
        <v>23</v>
      </c>
      <c r="N69" s="53" t="s">
        <v>24</v>
      </c>
      <c r="O69" s="53" t="s">
        <v>25</v>
      </c>
      <c r="P69" s="53" t="s">
        <v>26</v>
      </c>
      <c r="R69" s="17"/>
      <c r="T69" s="50"/>
      <c r="U69" s="23" t="s">
        <v>38</v>
      </c>
      <c r="V69" s="1"/>
    </row>
    <row r="70" spans="1:30" ht="15" customHeight="1" x14ac:dyDescent="0.25">
      <c r="A70" s="9"/>
      <c r="B70" s="34" t="str">
        <f>IF(DAY(Ne1Čvc)=1,"",IF(AND(YEAR(Ne1Čvc+1)=RokKalendáře,MONTH(Ne1Čvc+1)=7),Ne1Čvc+1,""))</f>
        <v/>
      </c>
      <c r="C70" s="34">
        <f>IF(DAY(Ne1Čvc)=1,"",IF(AND(YEAR(Ne1Čvc+2)=RokKalendáře,MONTH(Ne1Čvc+2)=7),Ne1Čvc+2,""))</f>
        <v>45839</v>
      </c>
      <c r="D70" s="34">
        <f>IF(DAY(Ne1Čvc)=1,"",IF(AND(YEAR(Ne1Čvc+3)=RokKalendáře,MONTH(Ne1Čvc+3)=7),Ne1Čvc+3,""))</f>
        <v>45840</v>
      </c>
      <c r="E70" s="34">
        <f>IF(DAY(Ne1Čvc)=1,"",IF(AND(YEAR(Ne1Čvc+4)=RokKalendáře,MONTH(Ne1Čvc+4)=7),Ne1Čvc+4,""))</f>
        <v>45841</v>
      </c>
      <c r="F70" s="34">
        <f>IF(DAY(Ne1Čvc)=1,"",IF(AND(YEAR(Ne1Čvc+5)=RokKalendáře,MONTH(Ne1Čvc+5)=7),Ne1Čvc+5,""))</f>
        <v>45842</v>
      </c>
      <c r="G70" s="34">
        <f>IF(DAY(Ne1Čvc)=1,"",IF(AND(YEAR(Ne1Čvc+6)=RokKalendáře,MONTH(Ne1Čvc+6)=7),Ne1Čvc+6,""))</f>
        <v>45843</v>
      </c>
      <c r="H70" s="34">
        <f>IF(DAY(Ne1Čvc)=1,IF(AND(YEAR(Ne1Čvc)=RokKalendáře,MONTH(Ne1Čvc)=7),Ne1Čvc,""),IF(AND(YEAR(Ne1Čvc+7)=RokKalendáře,MONTH(Ne1Čvc+7)=7),Ne1Čvc+7,""))</f>
        <v>45844</v>
      </c>
      <c r="I70" s="39"/>
      <c r="J70" s="34" t="str">
        <f>IF(DAY(Ne1Srp)=1,"",IF(AND(YEAR(Ne1Srp+1)=RokKalendáře,MONTH(Ne1Srp+1)=8),Ne1Srp+1,""))</f>
        <v/>
      </c>
      <c r="K70" s="34" t="str">
        <f>IF(DAY(Ne1Srp)=1,"",IF(AND(YEAR(Ne1Srp+2)=RokKalendáře,MONTH(Ne1Srp+2)=8),Ne1Srp+2,""))</f>
        <v/>
      </c>
      <c r="L70" s="34" t="str">
        <f>IF(DAY(Ne1Srp)=1,"",IF(AND(YEAR(Ne1Srp+3)=RokKalendáře,MONTH(Ne1Srp+3)=8),Ne1Srp+3,""))</f>
        <v/>
      </c>
      <c r="M70" s="34" t="str">
        <f>IF(DAY(Ne1Srp)=1,"",IF(AND(YEAR(Ne1Srp+4)=RokKalendáře,MONTH(Ne1Srp+4)=8),Ne1Srp+4,""))</f>
        <v/>
      </c>
      <c r="N70" s="34">
        <f>IF(DAY(Ne1Srp)=1,"",IF(AND(YEAR(Ne1Srp+5)=RokKalendáře,MONTH(Ne1Srp+5)=8),Ne1Srp+5,""))</f>
        <v>45870</v>
      </c>
      <c r="O70" s="34">
        <f>IF(DAY(Ne1Srp)=1,"",IF(AND(YEAR(Ne1Srp+6)=RokKalendáře,MONTH(Ne1Srp+6)=8),Ne1Srp+6,""))</f>
        <v>45871</v>
      </c>
      <c r="P70" s="34">
        <f>IF(DAY(Ne1Srp)=1,IF(AND(YEAR(Ne1Srp)=RokKalendáře,MONTH(Ne1Srp)=8),Ne1Srp,""),IF(AND(YEAR(Ne1Srp+7)=RokKalendáře,MONTH(Ne1Srp+7)=8),Ne1Srp+7,""))</f>
        <v>45872</v>
      </c>
      <c r="R70" s="17"/>
      <c r="T70" s="3"/>
      <c r="U70" s="23"/>
      <c r="V70" s="1"/>
    </row>
    <row r="71" spans="1:30" ht="15" customHeight="1" x14ac:dyDescent="0.25">
      <c r="A71" s="9"/>
      <c r="B71" s="85"/>
      <c r="C71" s="95"/>
      <c r="D71" s="85"/>
      <c r="E71" s="80"/>
      <c r="F71" s="80"/>
      <c r="G71" s="77"/>
      <c r="H71" s="77"/>
      <c r="I71" s="39"/>
      <c r="J71" s="85"/>
      <c r="K71" s="85"/>
      <c r="L71" s="85"/>
      <c r="M71" s="85"/>
      <c r="N71" s="80"/>
      <c r="O71" s="77"/>
      <c r="P71" s="77"/>
      <c r="R71" s="17"/>
      <c r="T71" s="3"/>
      <c r="U71" s="21"/>
      <c r="V71" s="1"/>
    </row>
    <row r="72" spans="1:30" ht="15" customHeight="1" x14ac:dyDescent="0.25">
      <c r="A72" s="9"/>
      <c r="B72" s="86"/>
      <c r="C72" s="96"/>
      <c r="D72" s="86"/>
      <c r="E72" s="80"/>
      <c r="F72" s="80"/>
      <c r="G72" s="77"/>
      <c r="H72" s="77"/>
      <c r="I72" s="39"/>
      <c r="J72" s="86"/>
      <c r="K72" s="86"/>
      <c r="L72" s="86"/>
      <c r="M72" s="86"/>
      <c r="N72" s="80"/>
      <c r="O72" s="77"/>
      <c r="P72" s="77"/>
      <c r="R72" s="17"/>
      <c r="T72" s="51"/>
      <c r="U72" s="23" t="s">
        <v>39</v>
      </c>
      <c r="V72" s="1"/>
    </row>
    <row r="73" spans="1:30" ht="15" customHeight="1" x14ac:dyDescent="0.25">
      <c r="A73" s="9"/>
      <c r="B73" s="34">
        <f>IF(DAY(Ne1Čvc)=1,IF(AND(YEAR(Ne1Čvc+1)=RokKalendáře,MONTH(Ne1Čvc+1)=7),Ne1Čvc+1,""),IF(AND(YEAR(Ne1Čvc+8)=RokKalendáře,MONTH(Ne1Čvc+8)=7),Ne1Čvc+8,""))</f>
        <v>45845</v>
      </c>
      <c r="C73" s="34">
        <f>IF(DAY(Ne1Čvc)=1,IF(AND(YEAR(Ne1Čvc+2)=RokKalendáře,MONTH(Ne1Čvc+2)=7),Ne1Čvc+2,""),IF(AND(YEAR(Ne1Čvc+9)=RokKalendáře,MONTH(Ne1Čvc+9)=7),Ne1Čvc+9,""))</f>
        <v>45846</v>
      </c>
      <c r="D73" s="34">
        <f>IF(DAY(Ne1Čvc)=1,IF(AND(YEAR(Ne1Čvc+3)=RokKalendáře,MONTH(Ne1Čvc+3)=7),Ne1Čvc+3,""),IF(AND(YEAR(Ne1Čvc+10)=RokKalendáře,MONTH(Ne1Čvc+10)=7),Ne1Čvc+10,""))</f>
        <v>45847</v>
      </c>
      <c r="E73" s="34">
        <v>10</v>
      </c>
      <c r="F73" s="34">
        <v>11</v>
      </c>
      <c r="G73" s="34">
        <f>IF(DAY(Ne1Čvc)=1,IF(AND(YEAR(Ne1Čvc+6)=RokKalendáře,MONTH(Ne1Čvc+6)=7),Ne1Čvc+6,""),IF(AND(YEAR(Ne1Čvc+13)=RokKalendáře,MONTH(Ne1Čvc+13)=7),Ne1Čvc+13,""))</f>
        <v>45850</v>
      </c>
      <c r="H73" s="34">
        <f>IF(DAY(Ne1Čvc)=1,IF(AND(YEAR(Ne1Čvc+7)=RokKalendáře,MONTH(Ne1Čvc+7)=7),Ne1Čvc+7,""),IF(AND(YEAR(Ne1Čvc+14)=RokKalendáře,MONTH(Ne1Čvc+14)=7),Ne1Čvc+14,""))</f>
        <v>45851</v>
      </c>
      <c r="I73" s="39"/>
      <c r="J73" s="34">
        <f>IF(DAY(Ne1Srp)=1,IF(AND(YEAR(Ne1Srp+1)=RokKalendáře,MONTH(Ne1Srp+1)=8),Ne1Srp+1,""),IF(AND(YEAR(Ne1Srp+8)=RokKalendáře,MONTH(Ne1Srp+8)=8),Ne1Srp+8,""))</f>
        <v>45873</v>
      </c>
      <c r="K73" s="34">
        <f>IF(DAY(Ne1Srp)=1,IF(AND(YEAR(Ne1Srp+2)=RokKalendáře,MONTH(Ne1Srp+2)=8),Ne1Srp+2,""),IF(AND(YEAR(Ne1Srp+9)=RokKalendáře,MONTH(Ne1Srp+9)=8),Ne1Srp+9,""))</f>
        <v>45874</v>
      </c>
      <c r="L73" s="34">
        <f>IF(DAY(Ne1Srp)=1,IF(AND(YEAR(Ne1Srp+3)=RokKalendáře,MONTH(Ne1Srp+3)=8),Ne1Srp+3,""),IF(AND(YEAR(Ne1Srp+10)=RokKalendáře,MONTH(Ne1Srp+10)=8),Ne1Srp+10,""))</f>
        <v>45875</v>
      </c>
      <c r="M73" s="34">
        <v>7</v>
      </c>
      <c r="N73" s="34">
        <v>8</v>
      </c>
      <c r="O73" s="34">
        <f>IF(DAY(Ne1Srp)=1,IF(AND(YEAR(Ne1Srp+6)=RokKalendáře,MONTH(Ne1Srp+6)=8),Ne1Srp+6,""),IF(AND(YEAR(Ne1Srp+13)=RokKalendáře,MONTH(Ne1Srp+13)=8),Ne1Srp+13,""))</f>
        <v>45878</v>
      </c>
      <c r="P73" s="34">
        <f>IF(DAY(Ne1Srp)=1,IF(AND(YEAR(Ne1Srp+7)=RokKalendáře,MONTH(Ne1Srp+7)=8),Ne1Srp+7,""),IF(AND(YEAR(Ne1Srp+14)=RokKalendáře,MONTH(Ne1Srp+14)=8),Ne1Srp+14,""))</f>
        <v>45879</v>
      </c>
      <c r="R73" s="17"/>
      <c r="T73" s="7"/>
      <c r="U73" s="1"/>
      <c r="V73" s="1"/>
    </row>
    <row r="74" spans="1:30" ht="15" customHeight="1" x14ac:dyDescent="0.25">
      <c r="A74" s="9"/>
      <c r="B74" s="85"/>
      <c r="C74" s="87"/>
      <c r="D74" s="85"/>
      <c r="E74" s="57"/>
      <c r="F74" s="83"/>
      <c r="G74" s="77"/>
      <c r="H74" s="77"/>
      <c r="I74" s="39"/>
      <c r="J74" s="85"/>
      <c r="K74" s="87"/>
      <c r="L74" s="85"/>
      <c r="M74" s="57"/>
      <c r="N74" s="83"/>
      <c r="O74" s="77"/>
      <c r="P74" s="77"/>
      <c r="R74" s="17"/>
      <c r="T74" s="60"/>
      <c r="U74" s="70" t="s">
        <v>43</v>
      </c>
      <c r="V74" s="70"/>
      <c r="W74" s="70"/>
      <c r="X74" s="70"/>
      <c r="Y74" s="70"/>
      <c r="Z74" s="70"/>
      <c r="AA74" s="70"/>
      <c r="AB74" s="70"/>
    </row>
    <row r="75" spans="1:30" ht="15" customHeight="1" x14ac:dyDescent="0.25">
      <c r="A75" s="9"/>
      <c r="B75" s="86"/>
      <c r="C75" s="88"/>
      <c r="D75" s="86"/>
      <c r="E75" s="58"/>
      <c r="F75" s="83"/>
      <c r="G75" s="77"/>
      <c r="H75" s="77"/>
      <c r="I75" s="39"/>
      <c r="J75" s="86"/>
      <c r="K75" s="88"/>
      <c r="L75" s="86"/>
      <c r="M75" s="58"/>
      <c r="N75" s="83"/>
      <c r="O75" s="77"/>
      <c r="P75" s="77"/>
      <c r="R75" s="17"/>
      <c r="T75" s="7"/>
      <c r="U75" s="71" t="s">
        <v>44</v>
      </c>
      <c r="V75" s="70"/>
      <c r="W75" s="70"/>
      <c r="X75" s="70"/>
      <c r="Y75" s="70"/>
      <c r="Z75" s="72"/>
      <c r="AA75" s="72"/>
      <c r="AB75" s="72"/>
    </row>
    <row r="76" spans="1:30" ht="15" customHeight="1" x14ac:dyDescent="0.25">
      <c r="B76" s="34">
        <f>IF(DAY(Ne1Čvc)=1,IF(AND(YEAR(Ne1Čvc+8)=RokKalendáře,MONTH(Ne1Čvc+8)=7),Ne1Čvc+8,""),IF(AND(YEAR(Ne1Čvc+15)=RokKalendáře,MONTH(Ne1Čvc+15)=7),Ne1Čvc+15,""))</f>
        <v>45852</v>
      </c>
      <c r="C76" s="34">
        <f>IF(DAY(Ne1Čvc)=1,IF(AND(YEAR(Ne1Čvc+9)=RokKalendáře,MONTH(Ne1Čvc+9)=7),Ne1Čvc+9,""),IF(AND(YEAR(Ne1Čvc+16)=RokKalendáře,MONTH(Ne1Čvc+16)=7),Ne1Čvc+16,""))</f>
        <v>45853</v>
      </c>
      <c r="D76" s="34">
        <f>IF(DAY(Ne1Čvc)=1,IF(AND(YEAR(Ne1Čvc+10)=RokKalendáře,MONTH(Ne1Čvc+10)=7),Ne1Čvc+10,""),IF(AND(YEAR(Ne1Čvc+17)=RokKalendáře,MONTH(Ne1Čvc+17)=7),Ne1Čvc+17,""))</f>
        <v>45854</v>
      </c>
      <c r="E76" s="34">
        <v>17</v>
      </c>
      <c r="F76" s="34">
        <v>18</v>
      </c>
      <c r="G76" s="34">
        <f>IF(DAY(Ne1Čvc)=1,IF(AND(YEAR(Ne1Čvc+13)=RokKalendáře,MONTH(Ne1Čvc+13)=7),Ne1Čvc+13,""),IF(AND(YEAR(Ne1Čvc+20)=RokKalendáře,MONTH(Ne1Čvc+20)=7),Ne1Čvc+20,""))</f>
        <v>45857</v>
      </c>
      <c r="H76" s="34">
        <f>IF(DAY(Ne1Čvc)=1,IF(AND(YEAR(Ne1Čvc+14)=RokKalendáře,MONTH(Ne1Čvc+14)=7),Ne1Čvc+14,""),IF(AND(YEAR(Ne1Čvc+21)=RokKalendáře,MONTH(Ne1Čvc+21)=7),Ne1Čvc+21,""))</f>
        <v>45858</v>
      </c>
      <c r="I76" s="39"/>
      <c r="J76" s="34">
        <f>IF(DAY(Ne1Srp)=1,IF(AND(YEAR(Ne1Srp+8)=RokKalendáře,MONTH(Ne1Srp+8)=8),Ne1Srp+8,""),IF(AND(YEAR(Ne1Srp+15)=RokKalendáře,MONTH(Ne1Srp+15)=8),Ne1Srp+15,""))</f>
        <v>45880</v>
      </c>
      <c r="K76" s="34">
        <f>IF(DAY(Ne1Srp)=1,IF(AND(YEAR(Ne1Srp+9)=RokKalendáře,MONTH(Ne1Srp+9)=8),Ne1Srp+9,""),IF(AND(YEAR(Ne1Srp+16)=RokKalendáře,MONTH(Ne1Srp+16)=8),Ne1Srp+16,""))</f>
        <v>45881</v>
      </c>
      <c r="L76" s="34">
        <f>IF(DAY(Ne1Srp)=1,IF(AND(YEAR(Ne1Srp+10)=RokKalendáře,MONTH(Ne1Srp+10)=8),Ne1Srp+10,""),IF(AND(YEAR(Ne1Srp+17)=RokKalendáře,MONTH(Ne1Srp+17)=8),Ne1Srp+17,""))</f>
        <v>45882</v>
      </c>
      <c r="M76" s="34">
        <v>14</v>
      </c>
      <c r="N76" s="34">
        <v>15</v>
      </c>
      <c r="O76" s="34">
        <f>IF(DAY(Ne1Srp)=1,IF(AND(YEAR(Ne1Srp+13)=RokKalendáře,MONTH(Ne1Srp+13)=8),Ne1Srp+13,""),IF(AND(YEAR(Ne1Srp+20)=RokKalendáře,MONTH(Ne1Srp+20)=8),Ne1Srp+20,""))</f>
        <v>45885</v>
      </c>
      <c r="P76" s="34">
        <f>IF(DAY(Ne1Srp)=1,IF(AND(YEAR(Ne1Srp+14)=RokKalendáře,MONTH(Ne1Srp+14)=8),Ne1Srp+14,""),IF(AND(YEAR(Ne1Srp+21)=RokKalendáře,MONTH(Ne1Srp+21)=8),Ne1Srp+21,""))</f>
        <v>45886</v>
      </c>
      <c r="R76" s="17"/>
      <c r="T76" s="59"/>
      <c r="U76" s="73" t="s">
        <v>45</v>
      </c>
      <c r="V76" s="73"/>
      <c r="W76" s="73"/>
    </row>
    <row r="77" spans="1:30" ht="15" customHeight="1" x14ac:dyDescent="0.25">
      <c r="B77" s="85"/>
      <c r="C77" s="89"/>
      <c r="D77" s="85"/>
      <c r="E77" s="80"/>
      <c r="F77" s="80"/>
      <c r="G77" s="77"/>
      <c r="H77" s="77"/>
      <c r="I77" s="39"/>
      <c r="J77" s="85"/>
      <c r="K77" s="47"/>
      <c r="L77" s="85"/>
      <c r="M77" s="80"/>
      <c r="N77" s="80"/>
      <c r="O77" s="77"/>
      <c r="P77" s="77"/>
      <c r="R77" s="17"/>
      <c r="AB77" s="40"/>
      <c r="AC77" s="40"/>
    </row>
    <row r="78" spans="1:30" ht="15" customHeight="1" x14ac:dyDescent="0.25">
      <c r="B78" s="86"/>
      <c r="C78" s="90"/>
      <c r="D78" s="86"/>
      <c r="E78" s="80"/>
      <c r="F78" s="80"/>
      <c r="G78" s="77"/>
      <c r="H78" s="77"/>
      <c r="I78" s="39"/>
      <c r="J78" s="86"/>
      <c r="K78" s="37"/>
      <c r="L78" s="86"/>
      <c r="M78" s="80"/>
      <c r="N78" s="80"/>
      <c r="O78" s="77"/>
      <c r="P78" s="77"/>
      <c r="R78" s="17"/>
      <c r="T78" s="63" t="s">
        <v>46</v>
      </c>
      <c r="U78" s="64"/>
      <c r="V78" s="59"/>
      <c r="W78" s="48"/>
      <c r="X78" s="48"/>
      <c r="Y78" s="48"/>
      <c r="Z78" s="40"/>
      <c r="AA78" s="40"/>
      <c r="AB78" s="40"/>
      <c r="AC78" s="40"/>
    </row>
    <row r="79" spans="1:30" ht="15" customHeight="1" x14ac:dyDescent="0.25">
      <c r="B79" s="34">
        <f>IF(DAY(Ne1Čvc)=1,IF(AND(YEAR(Ne1Čvc+15)=RokKalendáře,MONTH(Ne1Čvc+15)=7),Ne1Čvc+15,""),IF(AND(YEAR(Ne1Čvc+22)=RokKalendáře,MONTH(Ne1Čvc+22)=7),Ne1Čvc+22,""))</f>
        <v>45859</v>
      </c>
      <c r="C79" s="34">
        <f>IF(DAY(Ne1Čvc)=1,IF(AND(YEAR(Ne1Čvc+16)=RokKalendáře,MONTH(Ne1Čvc+16)=7),Ne1Čvc+16,""),IF(AND(YEAR(Ne1Čvc+23)=RokKalendáře,MONTH(Ne1Čvc+23)=7),Ne1Čvc+23,""))</f>
        <v>45860</v>
      </c>
      <c r="D79" s="34">
        <f>IF(DAY(Ne1Čvc)=1,IF(AND(YEAR(Ne1Čvc+17)=RokKalendáře,MONTH(Ne1Čvc+17)=7),Ne1Čvc+17,""),IF(AND(YEAR(Ne1Čvc+24)=RokKalendáře,MONTH(Ne1Čvc+24)=7),Ne1Čvc+24,""))</f>
        <v>45861</v>
      </c>
      <c r="E79" s="34">
        <v>24</v>
      </c>
      <c r="F79" s="34">
        <v>25</v>
      </c>
      <c r="G79" s="34">
        <f>IF(DAY(Ne1Čvc)=1,IF(AND(YEAR(Ne1Čvc+20)=RokKalendáře,MONTH(Ne1Čvc+20)=7),Ne1Čvc+20,""),IF(AND(YEAR(Ne1Čvc+27)=RokKalendáře,MONTH(Ne1Čvc+27)=7),Ne1Čvc+27,""))</f>
        <v>45864</v>
      </c>
      <c r="H79" s="34">
        <f>IF(DAY(Ne1Čvc)=1,IF(AND(YEAR(Ne1Čvc+21)=RokKalendáře,MONTH(Ne1Čvc+21)=7),Ne1Čvc+21,""),IF(AND(YEAR(Ne1Čvc+28)=RokKalendáře,MONTH(Ne1Čvc+28)=7),Ne1Čvc+28,""))</f>
        <v>45865</v>
      </c>
      <c r="I79" s="39"/>
      <c r="J79" s="34">
        <f>IF(DAY(Ne1Srp)=1,IF(AND(YEAR(Ne1Srp+15)=RokKalendáře,MONTH(Ne1Srp+15)=8),Ne1Srp+15,""),IF(AND(YEAR(Ne1Srp+22)=RokKalendáře,MONTH(Ne1Srp+22)=8),Ne1Srp+22,""))</f>
        <v>45887</v>
      </c>
      <c r="K79" s="34">
        <f>IF(DAY(Ne1Srp)=1,IF(AND(YEAR(Ne1Srp+16)=RokKalendáře,MONTH(Ne1Srp+16)=8),Ne1Srp+16,""),IF(AND(YEAR(Ne1Srp+23)=RokKalendáře,MONTH(Ne1Srp+23)=8),Ne1Srp+23,""))</f>
        <v>45888</v>
      </c>
      <c r="L79" s="34">
        <f>IF(DAY(Ne1Srp)=1,IF(AND(YEAR(Ne1Srp+17)=RokKalendáře,MONTH(Ne1Srp+17)=8),Ne1Srp+17,""),IF(AND(YEAR(Ne1Srp+24)=RokKalendáře,MONTH(Ne1Srp+24)=8),Ne1Srp+24,""))</f>
        <v>45889</v>
      </c>
      <c r="M79" s="34">
        <v>21</v>
      </c>
      <c r="N79" s="34">
        <v>22</v>
      </c>
      <c r="O79" s="34">
        <f>IF(DAY(Ne1Srp)=1,IF(AND(YEAR(Ne1Srp+20)=RokKalendáře,MONTH(Ne1Srp+20)=8),Ne1Srp+20,""),IF(AND(YEAR(Ne1Srp+27)=RokKalendáře,MONTH(Ne1Srp+27)=8),Ne1Srp+27,""))</f>
        <v>45892</v>
      </c>
      <c r="P79" s="34">
        <f>IF(DAY(Ne1Srp)=1,IF(AND(YEAR(Ne1Srp+21)=RokKalendáře,MONTH(Ne1Srp+21)=8),Ne1Srp+21,""),IF(AND(YEAR(Ne1Srp+28)=RokKalendáře,MONTH(Ne1Srp+28)=8),Ne1Srp+28,""))</f>
        <v>45893</v>
      </c>
      <c r="R79" s="17"/>
      <c r="T79" s="48" t="s">
        <v>47</v>
      </c>
      <c r="Z79" s="40"/>
      <c r="AA79" s="40"/>
      <c r="AB79" s="40"/>
      <c r="AC79" s="40"/>
    </row>
    <row r="80" spans="1:30" ht="15" customHeight="1" x14ac:dyDescent="0.25">
      <c r="B80" s="85"/>
      <c r="C80" s="87"/>
      <c r="D80" s="85"/>
      <c r="E80" s="57"/>
      <c r="F80" s="83"/>
      <c r="G80" s="85"/>
      <c r="H80" s="85"/>
      <c r="I80" s="39"/>
      <c r="J80" s="85"/>
      <c r="K80" s="87"/>
      <c r="L80" s="85"/>
      <c r="M80" s="57"/>
      <c r="N80" s="83"/>
      <c r="O80" s="77"/>
      <c r="P80" s="77"/>
      <c r="R80" s="17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30" ht="15" customHeight="1" x14ac:dyDescent="0.25">
      <c r="B81" s="86"/>
      <c r="C81" s="88"/>
      <c r="D81" s="86"/>
      <c r="E81" s="58"/>
      <c r="F81" s="83"/>
      <c r="G81" s="86"/>
      <c r="H81" s="86"/>
      <c r="I81" s="39"/>
      <c r="J81" s="86"/>
      <c r="K81" s="88"/>
      <c r="L81" s="86"/>
      <c r="M81" s="58"/>
      <c r="N81" s="83"/>
      <c r="O81" s="77"/>
      <c r="P81" s="77"/>
      <c r="R81" s="17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30" ht="15" customHeight="1" x14ac:dyDescent="0.25">
      <c r="B82" s="34">
        <f>IF(DAY(Ne1Čvc)=1,IF(AND(YEAR(Ne1Čvc+22)=RokKalendáře,MONTH(Ne1Čvc+22)=7),Ne1Čvc+22,""),IF(AND(YEAR(Ne1Čvc+29)=RokKalendáře,MONTH(Ne1Čvc+29)=7),Ne1Čvc+29,""))</f>
        <v>45866</v>
      </c>
      <c r="C82" s="34">
        <f>IF(DAY(Ne1Čvc)=1,IF(AND(YEAR(Ne1Čvc+23)=RokKalendáře,MONTH(Ne1Čvc+23)=7),Ne1Čvc+23,""),IF(AND(YEAR(Ne1Čvc+30)=RokKalendáře,MONTH(Ne1Čvc+30)=7),Ne1Čvc+30,""))</f>
        <v>45867</v>
      </c>
      <c r="D82" s="34">
        <f>IF(DAY(Ne1Čvc)=1,IF(AND(YEAR(Ne1Čvc+24)=RokKalendáře,MONTH(Ne1Čvc+24)=7),Ne1Čvc+24,""),IF(AND(YEAR(Ne1Čvc+31)=RokKalendáře,MONTH(Ne1Čvc+31)=7),Ne1Čvc+31,""))</f>
        <v>45868</v>
      </c>
      <c r="E82" s="34"/>
      <c r="F82" s="34"/>
      <c r="G82" s="34"/>
      <c r="H82" s="34"/>
      <c r="I82" s="39"/>
      <c r="J82" s="34">
        <f>IF(DAY(Ne1Srp)=1,IF(AND(YEAR(Ne1Srp+22)=RokKalendáře,MONTH(Ne1Srp+22)=8),Ne1Srp+22,""),IF(AND(YEAR(Ne1Srp+29)=RokKalendáře,MONTH(Ne1Srp+29)=8),Ne1Srp+29,""))</f>
        <v>45894</v>
      </c>
      <c r="K82" s="34">
        <f>IF(DAY(Ne1Srp)=1,IF(AND(YEAR(Ne1Srp+23)=RokKalendáře,MONTH(Ne1Srp+23)=8),Ne1Srp+23,""),IF(AND(YEAR(Ne1Srp+30)=RokKalendáře,MONTH(Ne1Srp+30)=8),Ne1Srp+30,""))</f>
        <v>45895</v>
      </c>
      <c r="L82" s="34">
        <f>IF(DAY(Ne1Srp)=1,IF(AND(YEAR(Ne1Srp+24)=RokKalendáře,MONTH(Ne1Srp+24)=8),Ne1Srp+24,""),IF(AND(YEAR(Ne1Srp+31)=RokKalendáře,MONTH(Ne1Srp+31)=8),Ne1Srp+31,""))</f>
        <v>45896</v>
      </c>
      <c r="M82" s="34">
        <v>28</v>
      </c>
      <c r="N82" s="34">
        <v>29</v>
      </c>
      <c r="O82" s="34">
        <f>IF(DAY(Ne1Srp)=1,IF(AND(YEAR(Ne1Srp+27)=RokKalendáře,MONTH(Ne1Srp+27)=8),Ne1Srp+27,""),IF(AND(YEAR(Ne1Srp+34)=RokKalendáře,MONTH(Ne1Srp+34)=8),Ne1Srp+34,""))</f>
        <v>45899</v>
      </c>
      <c r="P82" s="34">
        <f>IF(DAY(Ne1Srp)=1,IF(AND(YEAR(Ne1Srp+28)=RokKalendáře,MONTH(Ne1Srp+28)=8),Ne1Srp+28,""),IF(AND(YEAR(Ne1Srp+35)=RokKalendáře,MONTH(Ne1Srp+35)=8),Ne1Srp+35,""))</f>
        <v>45900</v>
      </c>
      <c r="R82" s="17"/>
      <c r="T82" s="67"/>
      <c r="U82" t="s">
        <v>41</v>
      </c>
      <c r="W82" s="68"/>
      <c r="X82" t="s">
        <v>42</v>
      </c>
      <c r="AA82" s="40"/>
      <c r="AB82" s="40"/>
      <c r="AC82" s="40"/>
    </row>
    <row r="83" spans="1:30" ht="15" customHeight="1" x14ac:dyDescent="0.25">
      <c r="B83" s="85"/>
      <c r="C83" s="57"/>
      <c r="D83" s="85"/>
      <c r="E83" s="80"/>
      <c r="F83" s="85"/>
      <c r="G83" s="85"/>
      <c r="H83" s="85"/>
      <c r="I83" s="39"/>
      <c r="J83" s="85"/>
      <c r="K83" s="85"/>
      <c r="L83" s="85"/>
      <c r="M83" s="80"/>
      <c r="N83" s="80"/>
      <c r="O83" s="77"/>
      <c r="P83" s="77"/>
      <c r="R83" s="17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30" ht="15" customHeight="1" x14ac:dyDescent="0.25">
      <c r="B84" s="86"/>
      <c r="C84" s="58"/>
      <c r="D84" s="86"/>
      <c r="E84" s="80"/>
      <c r="F84" s="86"/>
      <c r="G84" s="86"/>
      <c r="H84" s="86"/>
      <c r="I84" s="39"/>
      <c r="J84" s="86"/>
      <c r="K84" s="86"/>
      <c r="L84" s="86"/>
      <c r="M84" s="80"/>
      <c r="N84" s="80"/>
      <c r="O84" s="77"/>
      <c r="P84" s="77"/>
      <c r="R84" s="17"/>
      <c r="U84" s="1"/>
      <c r="V84" s="1"/>
    </row>
    <row r="85" spans="1:30" ht="15" customHeight="1" x14ac:dyDescent="0.25">
      <c r="B85" s="14" t="str">
        <f>IF(DAY(Ne1Čvc)=1,IF(AND(YEAR(Ne1Čvc+29)=RokKalendáře,MONTH(Ne1Čvc+29)=7),Ne1Čvc+29,""),IF(AND(YEAR(Ne1Čvc+36)=RokKalendáře,MONTH(Ne1Čvc+36)=7),Ne1Čvc+36,""))</f>
        <v/>
      </c>
      <c r="C85" s="14" t="str">
        <f>IF(DAY(Ne1Čvc)=1,IF(AND(YEAR(Ne1Čvc+30)=RokKalendáře,MONTH(Ne1Čvc+30)=7),Ne1Čvc+30,""),IF(AND(YEAR(Ne1Čvc+37)=RokKalendáře,MONTH(Ne1Čvc+37)=7),Ne1Čvc+37,""))</f>
        <v/>
      </c>
      <c r="D85" s="14" t="str">
        <f>IF(DAY(Ne1Čvc)=1,IF(AND(YEAR(Ne1Čvc+31)=RokKalendáře,MONTH(Ne1Čvc+31)=7),Ne1Čvc+31,""),IF(AND(YEAR(Ne1Čvc+38)=RokKalendáře,MONTH(Ne1Čvc+38)=7),Ne1Čvc+38,""))</f>
        <v/>
      </c>
      <c r="E85" s="14" t="str">
        <f>IF(DAY(Ne1Čvc)=1,IF(AND(YEAR(Ne1Čvc+32)=RokKalendáře,MONTH(Ne1Čvc+32)=7),Ne1Čvc+32,""),IF(AND(YEAR(Ne1Čvc+39)=RokKalendáře,MONTH(Ne1Čvc+39)=7),Ne1Čvc+39,""))</f>
        <v/>
      </c>
      <c r="F85" s="14" t="str">
        <f>IF(DAY(Ne1Čvc)=1,IF(AND(YEAR(Ne1Čvc+33)=RokKalendáře,MONTH(Ne1Čvc+33)=7),Ne1Čvc+33,""),IF(AND(YEAR(Ne1Čvc+40)=RokKalendáře,MONTH(Ne1Čvc+40)=7),Ne1Čvc+40,""))</f>
        <v/>
      </c>
      <c r="G85" s="14" t="str">
        <f>IF(DAY(Ne1Čvc)=1,IF(AND(YEAR(Ne1Čvc+34)=RokKalendáře,MONTH(Ne1Čvc+34)=7),Ne1Čvc+34,""),IF(AND(YEAR(Ne1Čvc+41)=RokKalendáře,MONTH(Ne1Čvc+41)=7),Ne1Čvc+41,""))</f>
        <v/>
      </c>
      <c r="H85" s="14" t="str">
        <f>IF(DAY(Ne1Čvc)=1,IF(AND(YEAR(Ne1Čvc+35)=RokKalendáře,MONTH(Ne1Čvc+35)=7),Ne1Čvc+35,""),IF(AND(YEAR(Ne1Čvc+42)=RokKalendáře,MONTH(Ne1Čvc+42)=7),Ne1Čvc+42,""))</f>
        <v/>
      </c>
      <c r="J85" s="14" t="str">
        <f>IF(DAY(Ne1Srp)=1,IF(AND(YEAR(Ne1Srp+29)=RokKalendáře,MONTH(Ne1Srp+29)=8),Ne1Srp+29,""),IF(AND(YEAR(Ne1Srp+36)=RokKalendáře,MONTH(Ne1Srp+36)=8),Ne1Srp+36,""))</f>
        <v/>
      </c>
      <c r="K85" s="14" t="str">
        <f>IF(DAY(Ne1Srp)=1,IF(AND(YEAR(Ne1Srp+30)=RokKalendáře,MONTH(Ne1Srp+30)=8),Ne1Srp+30,""),IF(AND(YEAR(Ne1Srp+37)=RokKalendáře,MONTH(Ne1Srp+37)=8),Ne1Srp+37,""))</f>
        <v/>
      </c>
      <c r="L85" s="14" t="str">
        <f>IF(DAY(Ne1Srp)=1,IF(AND(YEAR(Ne1Srp+31)=RokKalendáře,MONTH(Ne1Srp+31)=8),Ne1Srp+31,""),IF(AND(YEAR(Ne1Srp+38)=RokKalendáře,MONTH(Ne1Srp+38)=8),Ne1Srp+38,""))</f>
        <v/>
      </c>
      <c r="M85" s="14" t="str">
        <f>IF(DAY(Ne1Srp)=1,IF(AND(YEAR(Ne1Srp+32)=RokKalendáře,MONTH(Ne1Srp+32)=8),Ne1Srp+32,""),IF(AND(YEAR(Ne1Srp+39)=RokKalendáře,MONTH(Ne1Srp+39)=8),Ne1Srp+39,""))</f>
        <v/>
      </c>
      <c r="N85" s="14" t="str">
        <f>IF(DAY(Ne1Srp)=1,IF(AND(YEAR(Ne1Srp+33)=RokKalendáře,MONTH(Ne1Srp+33)=8),Ne1Srp+33,""),IF(AND(YEAR(Ne1Srp+40)=RokKalendáře,MONTH(Ne1Srp+40)=8),Ne1Srp+40,""))</f>
        <v/>
      </c>
      <c r="O85" s="14" t="str">
        <f>IF(DAY(Ne1Srp)=1,IF(AND(YEAR(Ne1Srp+34)=RokKalendáře,MONTH(Ne1Srp+34)=8),Ne1Srp+34,""),IF(AND(YEAR(Ne1Srp+41)=RokKalendáře,MONTH(Ne1Srp+41)=8),Ne1Srp+41,""))</f>
        <v/>
      </c>
      <c r="P85" s="14" t="str">
        <f>IF(DAY(Ne1Srp)=1,IF(AND(YEAR(Ne1Srp+35)=RokKalendáře,MONTH(Ne1Srp+35)=8),Ne1Srp+35,""),IF(AND(YEAR(Ne1Srp+42)=RokKalendáře,MONTH(Ne1Srp+42)=8),Ne1Srp+42,""))</f>
        <v/>
      </c>
      <c r="R85" s="17"/>
      <c r="T85" s="59"/>
      <c r="U85" s="40"/>
      <c r="V85" s="40"/>
      <c r="W85" s="40"/>
      <c r="X85" s="40"/>
      <c r="Y85" s="40"/>
      <c r="Z85" s="40"/>
      <c r="AA85" s="40"/>
      <c r="AB85" s="40"/>
      <c r="AC85" s="40"/>
    </row>
    <row r="86" spans="1:30" ht="15" customHeight="1" x14ac:dyDescent="0.25">
      <c r="A86" s="9" t="s">
        <v>6</v>
      </c>
      <c r="B86" s="74" t="s">
        <v>19</v>
      </c>
      <c r="C86" s="74"/>
      <c r="D86" s="74"/>
      <c r="E86" s="74"/>
      <c r="F86" s="74"/>
      <c r="G86" s="74"/>
      <c r="H86" s="74"/>
      <c r="J86" s="74" t="s">
        <v>31</v>
      </c>
      <c r="K86" s="74"/>
      <c r="L86" s="74"/>
      <c r="M86" s="74"/>
      <c r="N86" s="74"/>
      <c r="O86" s="74"/>
      <c r="P86" s="74"/>
      <c r="R86" s="17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13"/>
    </row>
    <row r="87" spans="1:30" ht="15" customHeight="1" x14ac:dyDescent="0.25">
      <c r="A87" s="9" t="s">
        <v>7</v>
      </c>
      <c r="B87" s="53" t="s">
        <v>15</v>
      </c>
      <c r="C87" s="53" t="s">
        <v>21</v>
      </c>
      <c r="D87" s="53" t="s">
        <v>22</v>
      </c>
      <c r="E87" s="53" t="s">
        <v>23</v>
      </c>
      <c r="F87" s="53" t="s">
        <v>24</v>
      </c>
      <c r="G87" s="53" t="s">
        <v>25</v>
      </c>
      <c r="H87" s="53" t="s">
        <v>26</v>
      </c>
      <c r="J87" s="53" t="s">
        <v>15</v>
      </c>
      <c r="K87" s="53" t="s">
        <v>21</v>
      </c>
      <c r="L87" s="53" t="s">
        <v>22</v>
      </c>
      <c r="M87" s="53" t="s">
        <v>23</v>
      </c>
      <c r="N87" s="53" t="s">
        <v>24</v>
      </c>
      <c r="O87" s="53" t="s">
        <v>25</v>
      </c>
      <c r="P87" s="53" t="s">
        <v>26</v>
      </c>
      <c r="R87" s="17"/>
      <c r="T87" s="94"/>
      <c r="U87" s="94"/>
      <c r="V87" s="94"/>
      <c r="W87" s="94"/>
      <c r="X87" s="94"/>
      <c r="Y87" s="94"/>
      <c r="Z87" s="94"/>
      <c r="AA87" s="94"/>
      <c r="AB87" s="94"/>
      <c r="AC87" s="94"/>
    </row>
    <row r="88" spans="1:30" ht="15" customHeight="1" x14ac:dyDescent="0.25">
      <c r="B88" s="34">
        <f>IF(DAY(Ne1Zář)=1,"",IF(AND(YEAR(Ne1Zář+1)=RokKalendáře,MONTH(Ne1Zář+1)=9),Ne1Zář+1,""))</f>
        <v>45901</v>
      </c>
      <c r="C88" s="34">
        <f>IF(DAY(Ne1Zář)=1,"",IF(AND(YEAR(Ne1Zář+2)=RokKalendáře,MONTH(Ne1Zář+2)=9),Ne1Zář+2,""))</f>
        <v>45902</v>
      </c>
      <c r="D88" s="34">
        <f>IF(DAY(Ne1Zář)=1,"",IF(AND(YEAR(Ne1Zář+3)=RokKalendáře,MONTH(Ne1Zář+3)=9),Ne1Zář+3,""))</f>
        <v>45903</v>
      </c>
      <c r="E88" s="34">
        <f>IF(DAY(Ne1Zář)=1,"",IF(AND(YEAR(Ne1Zář+4)=RokKalendáře,MONTH(Ne1Zář+4)=9),Ne1Zář+4,""))</f>
        <v>45904</v>
      </c>
      <c r="F88" s="34">
        <f>IF(DAY(Ne1Zář)=1,"",IF(AND(YEAR(Ne1Zář+5)=RokKalendáře,MONTH(Ne1Zář+5)=9),Ne1Zář+5,""))</f>
        <v>45905</v>
      </c>
      <c r="G88" s="34">
        <f>IF(DAY(Ne1Zář)=1,"",IF(AND(YEAR(Ne1Zář+6)=RokKalendáře,MONTH(Ne1Zář+6)=9),Ne1Zář+6,""))</f>
        <v>45906</v>
      </c>
      <c r="H88" s="34">
        <f>IF(DAY(Ne1Zář)=1,IF(AND(YEAR(Ne1Zář)=RokKalendáře,MONTH(Ne1Zář)=9),Ne1Zář,""),IF(AND(YEAR(Ne1Zář+7)=RokKalendáře,MONTH(Ne1Zář+7)=9),Ne1Zář+7,""))</f>
        <v>45907</v>
      </c>
      <c r="I88" s="39"/>
      <c r="J88" s="34" t="str">
        <f>IF(DAY(Ne1Říj)=1,"",IF(AND(YEAR(Ne1Říj+1)=RokKalendáře,MONTH(Ne1Říj+1)=10),Ne1Říj+1,""))</f>
        <v/>
      </c>
      <c r="K88" s="34" t="str">
        <f>IF(DAY(Ne1Říj)=1,"",IF(AND(YEAR(Ne1Říj+2)=RokKalendáře,MONTH(Ne1Říj+2)=10),Ne1Říj+2,""))</f>
        <v/>
      </c>
      <c r="L88" s="34">
        <f>IF(DAY(Ne1Říj)=1,"",IF(AND(YEAR(Ne1Říj+3)=RokKalendáře,MONTH(Ne1Říj+3)=10),Ne1Říj+3,""))</f>
        <v>45931</v>
      </c>
      <c r="M88" s="34">
        <f>IF(DAY(Ne1Říj)=1,"",IF(AND(YEAR(Ne1Říj+4)=RokKalendáře,MONTH(Ne1Říj+4)=10),Ne1Říj+4,""))</f>
        <v>45932</v>
      </c>
      <c r="N88" s="34">
        <f>IF(DAY(Ne1Říj)=1,"",IF(AND(YEAR(Ne1Říj+5)=RokKalendáře,MONTH(Ne1Říj+5)=10),Ne1Říj+5,""))</f>
        <v>45933</v>
      </c>
      <c r="O88" s="34">
        <f>IF(DAY(Ne1Říj)=1,"",IF(AND(YEAR(Ne1Říj+6)=RokKalendáře,MONTH(Ne1Říj+6)=10),Ne1Říj+6,""))</f>
        <v>45934</v>
      </c>
      <c r="P88" s="34">
        <f>IF(DAY(Ne1Říj)=1,IF(AND(YEAR(Ne1Říj)=RokKalendáře,MONTH(Ne1Říj)=10),Ne1Říj,""),IF(AND(YEAR(Ne1Říj+7)=RokKalendáře,MONTH(Ne1Říj+7)=10),Ne1Říj+7,""))</f>
        <v>45935</v>
      </c>
      <c r="R88" s="17"/>
      <c r="T88" s="94"/>
      <c r="U88" s="94"/>
      <c r="V88" s="94"/>
      <c r="W88" s="94"/>
      <c r="X88" s="94"/>
      <c r="Y88" s="94"/>
      <c r="Z88" s="94"/>
      <c r="AA88" s="94"/>
      <c r="AB88" s="94"/>
      <c r="AC88" s="94"/>
    </row>
    <row r="89" spans="1:30" ht="15" customHeight="1" x14ac:dyDescent="0.25">
      <c r="B89" s="85"/>
      <c r="C89" s="87"/>
      <c r="D89" s="85"/>
      <c r="E89" s="57"/>
      <c r="F89" s="83"/>
      <c r="G89" s="77"/>
      <c r="H89" s="77"/>
      <c r="I89" s="39"/>
      <c r="J89" s="85"/>
      <c r="K89" s="85"/>
      <c r="L89" s="85"/>
      <c r="M89" s="57"/>
      <c r="N89" s="83"/>
      <c r="O89" s="77"/>
      <c r="P89" s="77"/>
      <c r="R89" s="17"/>
      <c r="T89" s="94"/>
      <c r="U89" s="94"/>
      <c r="V89" s="94"/>
      <c r="W89" s="94"/>
      <c r="X89" s="94"/>
      <c r="Y89" s="94"/>
      <c r="Z89" s="94"/>
      <c r="AA89" s="94"/>
      <c r="AB89" s="94"/>
      <c r="AC89" s="94"/>
    </row>
    <row r="90" spans="1:30" ht="15" customHeight="1" x14ac:dyDescent="0.25">
      <c r="B90" s="86"/>
      <c r="C90" s="88"/>
      <c r="D90" s="86"/>
      <c r="E90" s="58"/>
      <c r="F90" s="83"/>
      <c r="G90" s="77"/>
      <c r="H90" s="77"/>
      <c r="I90" s="39"/>
      <c r="J90" s="86"/>
      <c r="K90" s="86"/>
      <c r="L90" s="86"/>
      <c r="M90" s="58"/>
      <c r="N90" s="83"/>
      <c r="O90" s="77"/>
      <c r="P90" s="77"/>
      <c r="R90" s="17"/>
      <c r="T90" s="94"/>
      <c r="U90" s="94"/>
      <c r="V90" s="94"/>
      <c r="W90" s="94"/>
      <c r="X90" s="94"/>
      <c r="Y90" s="94"/>
      <c r="Z90" s="94"/>
      <c r="AA90" s="94"/>
      <c r="AB90" s="94"/>
      <c r="AC90" s="94"/>
    </row>
    <row r="91" spans="1:30" ht="15" customHeight="1" x14ac:dyDescent="0.25">
      <c r="B91" s="34">
        <f>IF(DAY(Ne1Zář)=1,IF(AND(YEAR(Ne1Zář+1)=RokKalendáře,MONTH(Ne1Zář+1)=9),Ne1Zář+1,""),IF(AND(YEAR(Ne1Zář+8)=RokKalendáře,MONTH(Ne1Zář+8)=9),Ne1Zář+8,""))</f>
        <v>45908</v>
      </c>
      <c r="C91" s="34">
        <f>IF(DAY(Ne1Zář)=1,IF(AND(YEAR(Ne1Zář+2)=RokKalendáře,MONTH(Ne1Zář+2)=9),Ne1Zář+2,""),IF(AND(YEAR(Ne1Zář+9)=RokKalendáře,MONTH(Ne1Zář+9)=9),Ne1Zář+9,""))</f>
        <v>45909</v>
      </c>
      <c r="D91" s="34">
        <f>IF(DAY(Ne1Zář)=1,IF(AND(YEAR(Ne1Zář+3)=RokKalendáře,MONTH(Ne1Zář+3)=9),Ne1Zář+3,""),IF(AND(YEAR(Ne1Zář+10)=RokKalendáře,MONTH(Ne1Zář+10)=9),Ne1Zář+10,""))</f>
        <v>45910</v>
      </c>
      <c r="E91" s="34">
        <v>11</v>
      </c>
      <c r="F91" s="34">
        <v>12</v>
      </c>
      <c r="G91" s="34">
        <v>13</v>
      </c>
      <c r="H91" s="34">
        <f>IF(DAY(Ne1Zář)=1,IF(AND(YEAR(Ne1Zář+7)=RokKalendáře,MONTH(Ne1Zář+7)=9),Ne1Zář+7,""),IF(AND(YEAR(Ne1Zář+14)=RokKalendáře,MONTH(Ne1Zář+14)=9),Ne1Zář+14,""))</f>
        <v>45914</v>
      </c>
      <c r="I91" s="39"/>
      <c r="J91" s="34">
        <f>IF(DAY(Ne1Říj)=1,IF(AND(YEAR(Ne1Říj+1)=RokKalendáře,MONTH(Ne1Říj+1)=10),Ne1Říj+1,""),IF(AND(YEAR(Ne1Říj+8)=RokKalendáře,MONTH(Ne1Říj+8)=10),Ne1Říj+8,""))</f>
        <v>45936</v>
      </c>
      <c r="K91" s="34">
        <f>IF(DAY(Ne1Říj)=1,IF(AND(YEAR(Ne1Říj+2)=RokKalendáře,MONTH(Ne1Říj+2)=10),Ne1Říj+2,""),IF(AND(YEAR(Ne1Říj+9)=RokKalendáře,MONTH(Ne1Říj+9)=10),Ne1Říj+9,""))</f>
        <v>45937</v>
      </c>
      <c r="L91" s="34">
        <f>IF(DAY(Ne1Říj)=1,IF(AND(YEAR(Ne1Říj+3)=RokKalendáře,MONTH(Ne1Říj+3)=10),Ne1Říj+3,""),IF(AND(YEAR(Ne1Říj+10)=RokKalendáře,MONTH(Ne1Říj+10)=10),Ne1Říj+10,""))</f>
        <v>45938</v>
      </c>
      <c r="M91" s="34">
        <v>9</v>
      </c>
      <c r="N91" s="34">
        <v>10</v>
      </c>
      <c r="O91" s="34">
        <f>IF(DAY(Ne1Říj)=1,IF(AND(YEAR(Ne1Říj+6)=RokKalendáře,MONTH(Ne1Říj+6)=10),Ne1Říj+6,""),IF(AND(YEAR(Ne1Říj+13)=RokKalendáře,MONTH(Ne1Říj+13)=10),Ne1Říj+13,""))</f>
        <v>45941</v>
      </c>
      <c r="P91" s="34">
        <f>IF(DAY(Ne1Říj)=1,IF(AND(YEAR(Ne1Říj+7)=RokKalendáře,MONTH(Ne1Říj+7)=10),Ne1Říj+7,""),IF(AND(YEAR(Ne1Říj+14)=RokKalendáře,MONTH(Ne1Říj+14)=10),Ne1Říj+14,""))</f>
        <v>45942</v>
      </c>
      <c r="R91" s="17"/>
      <c r="T91" s="94"/>
      <c r="U91" s="94"/>
      <c r="V91" s="94"/>
      <c r="W91" s="94"/>
      <c r="X91" s="94"/>
      <c r="Y91" s="94"/>
      <c r="Z91" s="94"/>
      <c r="AA91" s="94"/>
      <c r="AB91" s="94"/>
      <c r="AC91" s="94"/>
    </row>
    <row r="92" spans="1:30" ht="15" customHeight="1" x14ac:dyDescent="0.25">
      <c r="B92" s="85"/>
      <c r="C92" s="89"/>
      <c r="D92" s="85"/>
      <c r="E92" s="80"/>
      <c r="F92" s="80"/>
      <c r="G92" s="77"/>
      <c r="H92" s="77"/>
      <c r="I92" s="39"/>
      <c r="J92" s="85"/>
      <c r="K92" s="89"/>
      <c r="L92" s="85"/>
      <c r="M92" s="80"/>
      <c r="N92" s="80"/>
      <c r="O92" s="77"/>
      <c r="P92" s="77"/>
      <c r="R92" s="17"/>
      <c r="T92" s="94"/>
      <c r="U92" s="94"/>
      <c r="V92" s="94"/>
      <c r="W92" s="94"/>
      <c r="X92" s="94"/>
      <c r="Y92" s="94"/>
      <c r="Z92" s="94"/>
      <c r="AA92" s="94"/>
      <c r="AB92" s="94"/>
      <c r="AC92" s="94"/>
    </row>
    <row r="93" spans="1:30" ht="15" customHeight="1" x14ac:dyDescent="0.25">
      <c r="B93" s="86"/>
      <c r="C93" s="90"/>
      <c r="D93" s="86"/>
      <c r="E93" s="80"/>
      <c r="F93" s="80"/>
      <c r="G93" s="77"/>
      <c r="H93" s="77"/>
      <c r="I93" s="39"/>
      <c r="J93" s="86"/>
      <c r="K93" s="90"/>
      <c r="L93" s="86"/>
      <c r="M93" s="80"/>
      <c r="N93" s="80"/>
      <c r="O93" s="77"/>
      <c r="P93" s="77"/>
      <c r="R93" s="17"/>
      <c r="U93" s="28"/>
      <c r="V93" s="28"/>
      <c r="W93" s="28"/>
      <c r="X93" s="28"/>
      <c r="Y93" s="28"/>
      <c r="Z93" s="28"/>
      <c r="AA93" s="28"/>
      <c r="AB93" s="28"/>
    </row>
    <row r="94" spans="1:30" ht="15" customHeight="1" x14ac:dyDescent="0.25">
      <c r="B94" s="34">
        <f>IF(DAY(Ne1Zář)=1,IF(AND(YEAR(Ne1Zář+8)=RokKalendáře,MONTH(Ne1Zář+8)=9),Ne1Zář+8,""),IF(AND(YEAR(Ne1Zář+15)=RokKalendáře,MONTH(Ne1Zář+15)=9),Ne1Zář+15,""))</f>
        <v>45915</v>
      </c>
      <c r="C94" s="34">
        <f>IF(DAY(Ne1Zář)=1,IF(AND(YEAR(Ne1Zář+9)=RokKalendáře,MONTH(Ne1Zář+9)=9),Ne1Zář+9,""),IF(AND(YEAR(Ne1Zář+16)=RokKalendáře,MONTH(Ne1Zář+16)=9),Ne1Zář+16,""))</f>
        <v>45916</v>
      </c>
      <c r="D94" s="34">
        <f>IF(DAY(Ne1Zář)=1,IF(AND(YEAR(Ne1Zář+10)=RokKalendáře,MONTH(Ne1Zář+10)=9),Ne1Zář+10,""),IF(AND(YEAR(Ne1Zář+17)=RokKalendáře,MONTH(Ne1Zář+17)=9),Ne1Zář+17,""))</f>
        <v>45917</v>
      </c>
      <c r="E94" s="34">
        <v>18</v>
      </c>
      <c r="F94" s="34">
        <v>19</v>
      </c>
      <c r="G94" s="34">
        <v>20</v>
      </c>
      <c r="H94" s="34">
        <f>IF(DAY(Ne1Zář)=1,IF(AND(YEAR(Ne1Zář+14)=RokKalendáře,MONTH(Ne1Zář+14)=9),Ne1Zář+14,""),IF(AND(YEAR(Ne1Zář+21)=RokKalendáře,MONTH(Ne1Zář+21)=9),Ne1Zář+21,""))</f>
        <v>45921</v>
      </c>
      <c r="I94" s="39"/>
      <c r="J94" s="34">
        <f>IF(DAY(Ne1Říj)=1,IF(AND(YEAR(Ne1Říj+8)=RokKalendáře,MONTH(Ne1Říj+8)=10),Ne1Říj+8,""),IF(AND(YEAR(Ne1Říj+15)=RokKalendáře,MONTH(Ne1Říj+15)=10),Ne1Říj+15,""))</f>
        <v>45943</v>
      </c>
      <c r="K94" s="34">
        <f>IF(DAY(Ne1Říj)=1,IF(AND(YEAR(Ne1Říj+9)=RokKalendáře,MONTH(Ne1Říj+9)=10),Ne1Říj+9,""),IF(AND(YEAR(Ne1Říj+16)=RokKalendáře,MONTH(Ne1Říj+16)=10),Ne1Říj+16,""))</f>
        <v>45944</v>
      </c>
      <c r="L94" s="34">
        <f>IF(DAY(Ne1Říj)=1,IF(AND(YEAR(Ne1Říj+10)=RokKalendáře,MONTH(Ne1Říj+10)=10),Ne1Říj+10,""),IF(AND(YEAR(Ne1Říj+17)=RokKalendáře,MONTH(Ne1Říj+17)=10),Ne1Říj+17,""))</f>
        <v>45945</v>
      </c>
      <c r="M94" s="34">
        <v>16</v>
      </c>
      <c r="N94" s="34">
        <v>17</v>
      </c>
      <c r="O94" s="34">
        <f>IF(DAY(Ne1Říj)=1,IF(AND(YEAR(Ne1Říj+13)=RokKalendáře,MONTH(Ne1Říj+13)=10),Ne1Říj+13,""),IF(AND(YEAR(Ne1Říj+20)=RokKalendáře,MONTH(Ne1Říj+20)=10),Ne1Říj+20,""))</f>
        <v>45948</v>
      </c>
      <c r="P94" s="34">
        <f>IF(DAY(Ne1Říj)=1,IF(AND(YEAR(Ne1Říj+14)=RokKalendáře,MONTH(Ne1Říj+14)=10),Ne1Říj+14,""),IF(AND(YEAR(Ne1Říj+21)=RokKalendáře,MONTH(Ne1Říj+21)=10),Ne1Říj+21,""))</f>
        <v>45949</v>
      </c>
      <c r="R94" s="17"/>
      <c r="T94" s="59"/>
      <c r="U94" s="56"/>
      <c r="V94" s="56"/>
      <c r="W94" s="56"/>
      <c r="X94" s="56"/>
      <c r="Y94" s="56"/>
      <c r="Z94" s="56"/>
      <c r="AA94" s="56"/>
      <c r="AB94" s="56"/>
      <c r="AC94" s="56"/>
    </row>
    <row r="95" spans="1:30" ht="15" customHeight="1" x14ac:dyDescent="0.25">
      <c r="B95" s="85"/>
      <c r="C95" s="87"/>
      <c r="D95" s="85"/>
      <c r="E95" s="57"/>
      <c r="F95" s="83"/>
      <c r="G95" s="77"/>
      <c r="H95" s="77"/>
      <c r="I95" s="39"/>
      <c r="J95" s="85"/>
      <c r="K95" s="87"/>
      <c r="L95" s="85"/>
      <c r="M95" s="57"/>
      <c r="N95" s="83"/>
      <c r="O95" s="77"/>
      <c r="P95" s="77"/>
      <c r="R95" s="17"/>
      <c r="T95" s="93"/>
      <c r="U95" s="93"/>
      <c r="V95" s="93"/>
      <c r="W95" s="93"/>
      <c r="X95" s="93"/>
      <c r="Y95" s="93"/>
      <c r="Z95" s="93"/>
      <c r="AA95" s="93"/>
      <c r="AB95" s="93"/>
      <c r="AC95" s="93"/>
    </row>
    <row r="96" spans="1:30" ht="15" customHeight="1" x14ac:dyDescent="0.25">
      <c r="B96" s="86"/>
      <c r="C96" s="88"/>
      <c r="D96" s="86"/>
      <c r="E96" s="58"/>
      <c r="F96" s="83"/>
      <c r="G96" s="77"/>
      <c r="H96" s="77"/>
      <c r="I96" s="39"/>
      <c r="J96" s="86"/>
      <c r="K96" s="88"/>
      <c r="L96" s="86"/>
      <c r="M96" s="58"/>
      <c r="N96" s="83"/>
      <c r="O96" s="77"/>
      <c r="P96" s="77"/>
      <c r="R96" s="17"/>
      <c r="T96" s="93"/>
      <c r="U96" s="93"/>
      <c r="V96" s="93"/>
      <c r="W96" s="93"/>
      <c r="X96" s="93"/>
      <c r="Y96" s="93"/>
      <c r="Z96" s="93"/>
      <c r="AA96" s="93"/>
      <c r="AB96" s="93"/>
      <c r="AC96" s="93"/>
    </row>
    <row r="97" spans="1:30" ht="15" customHeight="1" x14ac:dyDescent="0.25">
      <c r="A97" s="9" t="s">
        <v>8</v>
      </c>
      <c r="B97" s="34">
        <f>IF(DAY(Ne1Zář)=1,IF(AND(YEAR(Ne1Zář+15)=RokKalendáře,MONTH(Ne1Zář+15)=9),Ne1Zář+15,""),IF(AND(YEAR(Ne1Zář+22)=RokKalendáře,MONTH(Ne1Zář+22)=9),Ne1Zář+22,""))</f>
        <v>45922</v>
      </c>
      <c r="C97" s="34">
        <f>IF(DAY(Ne1Zář)=1,IF(AND(YEAR(Ne1Zář+16)=RokKalendáře,MONTH(Ne1Zář+16)=9),Ne1Zář+16,""),IF(AND(YEAR(Ne1Zář+23)=RokKalendáře,MONTH(Ne1Zář+23)=9),Ne1Zář+23,""))</f>
        <v>45923</v>
      </c>
      <c r="D97" s="34">
        <f>IF(DAY(Ne1Zář)=1,IF(AND(YEAR(Ne1Zář+17)=RokKalendáře,MONTH(Ne1Zář+17)=9),Ne1Zář+17,""),IF(AND(YEAR(Ne1Zář+24)=RokKalendáře,MONTH(Ne1Zář+24)=9),Ne1Zář+24,""))</f>
        <v>45924</v>
      </c>
      <c r="E97" s="34">
        <v>25</v>
      </c>
      <c r="F97" s="34">
        <v>26</v>
      </c>
      <c r="G97" s="34">
        <v>27</v>
      </c>
      <c r="H97" s="34">
        <f>IF(DAY(Ne1Zář)=1,IF(AND(YEAR(Ne1Zář+21)=RokKalendáře,MONTH(Ne1Zář+21)=9),Ne1Zář+21,""),IF(AND(YEAR(Ne1Zář+28)=RokKalendáře,MONTH(Ne1Zář+28)=9),Ne1Zář+28,""))</f>
        <v>45928</v>
      </c>
      <c r="I97" s="39"/>
      <c r="J97" s="34">
        <f>IF(DAY(Ne1Říj)=1,IF(AND(YEAR(Ne1Říj+15)=RokKalendáře,MONTH(Ne1Říj+15)=10),Ne1Říj+15,""),IF(AND(YEAR(Ne1Říj+22)=RokKalendáře,MONTH(Ne1Říj+22)=10),Ne1Říj+22,""))</f>
        <v>45950</v>
      </c>
      <c r="K97" s="34">
        <f>IF(DAY(Ne1Říj)=1,IF(AND(YEAR(Ne1Říj+16)=RokKalendáře,MONTH(Ne1Říj+16)=10),Ne1Říj+16,""),IF(AND(YEAR(Ne1Říj+23)=RokKalendáře,MONTH(Ne1Říj+23)=10),Ne1Říj+23,""))</f>
        <v>45951</v>
      </c>
      <c r="L97" s="34">
        <f>IF(DAY(Ne1Říj)=1,IF(AND(YEAR(Ne1Říj+17)=RokKalendáře,MONTH(Ne1Říj+17)=10),Ne1Říj+17,""),IF(AND(YEAR(Ne1Říj+24)=RokKalendáře,MONTH(Ne1Říj+24)=10),Ne1Říj+24,""))</f>
        <v>45952</v>
      </c>
      <c r="M97" s="34">
        <v>23</v>
      </c>
      <c r="N97" s="34">
        <v>24</v>
      </c>
      <c r="O97" s="34">
        <f>IF(DAY(Ne1Říj)=1,IF(AND(YEAR(Ne1Říj+20)=RokKalendáře,MONTH(Ne1Říj+20)=10),Ne1Říj+20,""),IF(AND(YEAR(Ne1Říj+27)=RokKalendáře,MONTH(Ne1Říj+27)=10),Ne1Říj+27,""))</f>
        <v>45955</v>
      </c>
      <c r="P97" s="34">
        <f>IF(DAY(Ne1Říj)=1,IF(AND(YEAR(Ne1Říj+21)=RokKalendáře,MONTH(Ne1Říj+21)=10),Ne1Říj+21,""),IF(AND(YEAR(Ne1Říj+28)=RokKalendáře,MONTH(Ne1Říj+28)=10),Ne1Říj+28,""))</f>
        <v>45956</v>
      </c>
      <c r="R97" s="17"/>
      <c r="T97" s="93"/>
      <c r="U97" s="93"/>
      <c r="V97" s="93"/>
      <c r="W97" s="93"/>
      <c r="X97" s="93"/>
      <c r="Y97" s="93"/>
      <c r="Z97" s="93"/>
      <c r="AA97" s="93"/>
      <c r="AB97" s="93"/>
      <c r="AC97" s="93"/>
    </row>
    <row r="98" spans="1:30" ht="15" customHeight="1" x14ac:dyDescent="0.25">
      <c r="A98" s="9"/>
      <c r="B98" s="85"/>
      <c r="C98" s="95"/>
      <c r="D98" s="85"/>
      <c r="E98" s="80"/>
      <c r="F98" s="80"/>
      <c r="G98" s="77"/>
      <c r="H98" s="77"/>
      <c r="I98" s="39"/>
      <c r="J98" s="85"/>
      <c r="K98" s="57"/>
      <c r="L98" s="85"/>
      <c r="M98" s="80"/>
      <c r="N98" s="80"/>
      <c r="O98" s="77"/>
      <c r="P98" s="77"/>
      <c r="R98" s="17"/>
      <c r="T98" s="93"/>
      <c r="U98" s="93"/>
      <c r="V98" s="93"/>
      <c r="W98" s="93"/>
      <c r="X98" s="93"/>
      <c r="Y98" s="93"/>
      <c r="Z98" s="93"/>
      <c r="AA98" s="93"/>
      <c r="AB98" s="93"/>
      <c r="AC98" s="93"/>
    </row>
    <row r="99" spans="1:30" ht="15" customHeight="1" x14ac:dyDescent="0.25">
      <c r="A99" s="9"/>
      <c r="B99" s="86"/>
      <c r="C99" s="96"/>
      <c r="D99" s="86"/>
      <c r="E99" s="80"/>
      <c r="F99" s="80"/>
      <c r="G99" s="77"/>
      <c r="H99" s="77"/>
      <c r="I99" s="39"/>
      <c r="J99" s="86"/>
      <c r="K99" s="58"/>
      <c r="L99" s="86"/>
      <c r="M99" s="80"/>
      <c r="N99" s="80"/>
      <c r="O99" s="77"/>
      <c r="P99" s="77"/>
      <c r="R99" s="17"/>
    </row>
    <row r="100" spans="1:30" ht="15" customHeight="1" x14ac:dyDescent="0.25">
      <c r="A100" s="9" t="s">
        <v>9</v>
      </c>
      <c r="B100" s="34">
        <f>IF(DAY(Ne1Zář)=1,IF(AND(YEAR(Ne1Zář+22)=RokKalendáře,MONTH(Ne1Zář+22)=9),Ne1Zář+22,""),IF(AND(YEAR(Ne1Zář+29)=RokKalendáře,MONTH(Ne1Zář+29)=9),Ne1Zář+29,""))</f>
        <v>45929</v>
      </c>
      <c r="C100" s="34">
        <f>IF(DAY(Ne1Zář)=1,IF(AND(YEAR(Ne1Zář+23)=RokKalendáře,MONTH(Ne1Zář+23)=9),Ne1Zář+23,""),IF(AND(YEAR(Ne1Zář+30)=RokKalendáře,MONTH(Ne1Zář+30)=9),Ne1Zář+30,""))</f>
        <v>45930</v>
      </c>
      <c r="D100" s="34"/>
      <c r="E100" s="34"/>
      <c r="F100" s="34"/>
      <c r="G100" s="34"/>
      <c r="H100" s="34"/>
      <c r="I100" s="39"/>
      <c r="J100" s="34">
        <f>IF(DAY(Ne1Říj)=1,IF(AND(YEAR(Ne1Říj+22)=RokKalendáře,MONTH(Ne1Říj+22)=10),Ne1Říj+22,""),IF(AND(YEAR(Ne1Říj+29)=RokKalendáře,MONTH(Ne1Říj+29)=10),Ne1Říj+29,""))</f>
        <v>45957</v>
      </c>
      <c r="K100" s="34">
        <f>IF(DAY(Ne1Říj)=1,IF(AND(YEAR(Ne1Říj+23)=RokKalendáře,MONTH(Ne1Říj+23)=10),Ne1Říj+23,""),IF(AND(YEAR(Ne1Říj+30)=RokKalendáře,MONTH(Ne1Říj+30)=10),Ne1Říj+30,""))</f>
        <v>45958</v>
      </c>
      <c r="L100" s="34">
        <f>IF(DAY(Ne1Říj)=1,IF(AND(YEAR(Ne1Říj+24)=RokKalendáře,MONTH(Ne1Říj+24)=10),Ne1Říj+24,""),IF(AND(YEAR(Ne1Říj+31)=RokKalendáře,MONTH(Ne1Říj+31)=10),Ne1Říj+31,""))</f>
        <v>45959</v>
      </c>
      <c r="M100" s="34">
        <v>30</v>
      </c>
      <c r="N100" s="34">
        <v>31</v>
      </c>
      <c r="O100" s="34"/>
      <c r="P100" s="34"/>
      <c r="R100" s="17"/>
      <c r="T100" s="59"/>
      <c r="U100" s="30"/>
      <c r="V100" s="30"/>
      <c r="W100" s="30"/>
      <c r="X100" s="30"/>
      <c r="Y100" s="30"/>
      <c r="Z100" s="30"/>
      <c r="AA100" s="30"/>
      <c r="AB100" s="30"/>
    </row>
    <row r="101" spans="1:30" ht="15" customHeight="1" x14ac:dyDescent="0.25">
      <c r="A101" s="9"/>
      <c r="B101" s="85"/>
      <c r="C101" s="87"/>
      <c r="D101" s="85"/>
      <c r="E101" s="85"/>
      <c r="F101" s="85"/>
      <c r="G101" s="85"/>
      <c r="H101" s="85"/>
      <c r="I101" s="39"/>
      <c r="J101" s="85"/>
      <c r="K101" s="87"/>
      <c r="L101" s="85"/>
      <c r="M101" s="57"/>
      <c r="N101" s="83"/>
      <c r="O101" s="85"/>
      <c r="P101" s="85"/>
      <c r="R101" s="17"/>
      <c r="T101" s="91"/>
      <c r="U101" s="92"/>
      <c r="V101" s="92"/>
      <c r="W101" s="92"/>
      <c r="X101" s="92"/>
      <c r="Y101" s="92"/>
      <c r="Z101" s="92"/>
      <c r="AA101" s="92"/>
      <c r="AB101" s="92"/>
    </row>
    <row r="102" spans="1:30" ht="15" customHeight="1" x14ac:dyDescent="0.25">
      <c r="A102" s="9"/>
      <c r="B102" s="86"/>
      <c r="C102" s="88"/>
      <c r="D102" s="86"/>
      <c r="E102" s="86"/>
      <c r="F102" s="86"/>
      <c r="G102" s="86"/>
      <c r="H102" s="86"/>
      <c r="I102" s="39"/>
      <c r="J102" s="86"/>
      <c r="K102" s="88"/>
      <c r="L102" s="86"/>
      <c r="M102" s="58"/>
      <c r="N102" s="83"/>
      <c r="O102" s="86"/>
      <c r="P102" s="86"/>
      <c r="R102" s="17"/>
      <c r="T102" s="92"/>
      <c r="U102" s="92"/>
      <c r="V102" s="92"/>
      <c r="W102" s="92"/>
      <c r="X102" s="92"/>
      <c r="Y102" s="92"/>
      <c r="Z102" s="92"/>
      <c r="AA102" s="92"/>
      <c r="AB102" s="92"/>
    </row>
    <row r="103" spans="1:30" ht="15" customHeight="1" x14ac:dyDescent="0.2">
      <c r="A103" s="9" t="s">
        <v>10</v>
      </c>
      <c r="R103" s="17"/>
    </row>
    <row r="104" spans="1:30" ht="15" customHeight="1" x14ac:dyDescent="0.25">
      <c r="A104" s="9" t="s">
        <v>11</v>
      </c>
      <c r="B104" s="74" t="s">
        <v>20</v>
      </c>
      <c r="C104" s="74"/>
      <c r="D104" s="74"/>
      <c r="E104" s="74"/>
      <c r="F104" s="74"/>
      <c r="G104" s="74"/>
      <c r="H104" s="74"/>
      <c r="J104" s="74" t="s">
        <v>32</v>
      </c>
      <c r="K104" s="74"/>
      <c r="L104" s="74"/>
      <c r="M104" s="74"/>
      <c r="N104" s="74"/>
      <c r="O104" s="74"/>
      <c r="P104" s="74"/>
      <c r="R104" s="17"/>
      <c r="T104" s="48"/>
      <c r="U104" s="1"/>
      <c r="V104" s="1"/>
      <c r="W104" s="13"/>
      <c r="X104" s="13"/>
      <c r="Z104" s="13"/>
      <c r="AA104" s="13"/>
      <c r="AB104" s="13"/>
      <c r="AC104" s="13"/>
      <c r="AD104" s="13"/>
    </row>
    <row r="105" spans="1:30" ht="15" customHeight="1" x14ac:dyDescent="0.25">
      <c r="A105" s="9" t="s">
        <v>12</v>
      </c>
      <c r="B105" s="29" t="s">
        <v>15</v>
      </c>
      <c r="C105" s="29" t="s">
        <v>21</v>
      </c>
      <c r="D105" s="29" t="s">
        <v>22</v>
      </c>
      <c r="E105" s="29" t="s">
        <v>23</v>
      </c>
      <c r="F105" s="29" t="s">
        <v>24</v>
      </c>
      <c r="G105" s="29" t="s">
        <v>25</v>
      </c>
      <c r="H105" s="29" t="s">
        <v>26</v>
      </c>
      <c r="I105" s="5"/>
      <c r="J105" s="29" t="s">
        <v>15</v>
      </c>
      <c r="K105" s="29" t="s">
        <v>21</v>
      </c>
      <c r="L105" s="29" t="s">
        <v>22</v>
      </c>
      <c r="M105" s="29" t="s">
        <v>23</v>
      </c>
      <c r="N105" s="29" t="s">
        <v>24</v>
      </c>
      <c r="O105" s="29" t="s">
        <v>25</v>
      </c>
      <c r="P105" s="29" t="s">
        <v>26</v>
      </c>
      <c r="R105" s="17"/>
      <c r="T105" s="41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1:30" ht="15" customHeight="1" x14ac:dyDescent="0.25">
      <c r="A106" s="9"/>
      <c r="B106" s="52" t="str">
        <f>IF(DAY(Ne1Lis)=1,"",IF(AND(YEAR(Ne1Lis+1)=RokKalendáře,MONTH(Ne1Lis+1)=11),Ne1Lis+1,""))</f>
        <v/>
      </c>
      <c r="C106" s="52" t="str">
        <f>IF(DAY(Ne1Lis)=1,"",IF(AND(YEAR(Ne1Lis+2)=RokKalendáře,MONTH(Ne1Lis+2)=11),Ne1Lis+2,""))</f>
        <v/>
      </c>
      <c r="D106" s="52" t="str">
        <f>IF(DAY(Ne1Lis)=1,"",IF(AND(YEAR(Ne1Lis+3)=RokKalendáře,MONTH(Ne1Lis+3)=11),Ne1Lis+3,""))</f>
        <v/>
      </c>
      <c r="E106" s="52" t="str">
        <f>IF(DAY(Ne1Lis)=1,"",IF(AND(YEAR(Ne1Lis+4)=RokKalendáře,MONTH(Ne1Lis+4)=11),Ne1Lis+4,""))</f>
        <v/>
      </c>
      <c r="F106" s="52" t="str">
        <f>IF(DAY(Ne1Lis)=1,"",IF(AND(YEAR(Ne1Lis+5)=RokKalendáře,MONTH(Ne1Lis+5)=11),Ne1Lis+5,""))</f>
        <v/>
      </c>
      <c r="G106" s="34">
        <f>IF(DAY(Ne1Lis)=1,"",IF(AND(YEAR(Ne1Lis+6)=RokKalendáře,MONTH(Ne1Lis+6)=11),Ne1Lis+6,""))</f>
        <v>45962</v>
      </c>
      <c r="H106" s="34">
        <f>IF(DAY(Ne1Lis)=1,IF(AND(YEAR(Ne1Lis)=RokKalendáře,MONTH(Ne1Lis)=11),Ne1Lis,""),IF(AND(YEAR(Ne1Lis+7)=RokKalendáře,MONTH(Ne1Lis+7)=11),Ne1Lis+7,""))</f>
        <v>45963</v>
      </c>
      <c r="J106" s="34">
        <f>IF(DAY(Ne1Pro)=1,"",IF(AND(YEAR(Ne1Pro+1)=RokKalendáře,MONTH(Ne1Pro+1)=12),Ne1Pro+1,""))</f>
        <v>45992</v>
      </c>
      <c r="K106" s="34">
        <f>IF(DAY(Ne1Pro)=1,"",IF(AND(YEAR(Ne1Pro+2)=RokKalendáře,MONTH(Ne1Pro+2)=12),Ne1Pro+2,""))</f>
        <v>45993</v>
      </c>
      <c r="L106" s="34">
        <f>IF(DAY(Ne1Pro)=1,"",IF(AND(YEAR(Ne1Pro+3)=RokKalendáře,MONTH(Ne1Pro+3)=12),Ne1Pro+3,""))</f>
        <v>45994</v>
      </c>
      <c r="M106" s="34">
        <f>IF(DAY(Ne1Pro)=1,"",IF(AND(YEAR(Ne1Pro+4)=RokKalendáře,MONTH(Ne1Pro+4)=12),Ne1Pro+4,""))</f>
        <v>45995</v>
      </c>
      <c r="N106" s="34">
        <f>IF(DAY(Ne1Pro)=1,"",IF(AND(YEAR(Ne1Pro+5)=RokKalendáře,MONTH(Ne1Pro+5)=12),Ne1Pro+5,""))</f>
        <v>45996</v>
      </c>
      <c r="O106" s="34">
        <f>IF(DAY(Ne1Pro)=1,"",IF(AND(YEAR(Ne1Pro+6)=RokKalendáře,MONTH(Ne1Pro+6)=12),Ne1Pro+6,""))</f>
        <v>45997</v>
      </c>
      <c r="P106" s="34">
        <f>IF(DAY(Ne1Pro)=1,IF(AND(YEAR(Ne1Pro)=RokKalendáře,MONTH(Ne1Pro)=12),Ne1Pro,""),IF(AND(YEAR(Ne1Pro+7)=RokKalendáře,MONTH(Ne1Pro+7)=12),Ne1Pro+7,""))</f>
        <v>45998</v>
      </c>
      <c r="R106" s="17"/>
    </row>
    <row r="107" spans="1:30" ht="15" customHeight="1" x14ac:dyDescent="0.25">
      <c r="A107" s="9"/>
      <c r="B107" s="85"/>
      <c r="C107" s="85"/>
      <c r="D107" s="85"/>
      <c r="E107" s="85"/>
      <c r="F107" s="85"/>
      <c r="G107" s="77"/>
      <c r="H107" s="77"/>
      <c r="J107" s="85"/>
      <c r="K107" s="89"/>
      <c r="L107" s="85"/>
      <c r="M107" s="80"/>
      <c r="N107" s="80"/>
      <c r="O107" s="77"/>
      <c r="P107" s="77"/>
      <c r="R107" s="17"/>
      <c r="T107" s="39"/>
      <c r="U107" s="33"/>
      <c r="V107" s="33"/>
      <c r="W107" s="39"/>
      <c r="X107" s="39"/>
      <c r="Y107" s="39"/>
    </row>
    <row r="108" spans="1:30" ht="15" customHeight="1" x14ac:dyDescent="0.25">
      <c r="A108" s="9"/>
      <c r="B108" s="86"/>
      <c r="C108" s="86"/>
      <c r="D108" s="86"/>
      <c r="E108" s="86"/>
      <c r="F108" s="86"/>
      <c r="G108" s="77"/>
      <c r="H108" s="77"/>
      <c r="J108" s="86"/>
      <c r="K108" s="90"/>
      <c r="L108" s="86"/>
      <c r="M108" s="80"/>
      <c r="N108" s="80"/>
      <c r="O108" s="77"/>
      <c r="P108" s="77"/>
      <c r="R108" s="17"/>
      <c r="T108" s="39"/>
      <c r="U108" s="33"/>
      <c r="V108" s="33"/>
      <c r="W108" s="39"/>
      <c r="X108" s="39"/>
      <c r="Y108" s="39"/>
    </row>
    <row r="109" spans="1:30" ht="15" customHeight="1" x14ac:dyDescent="0.25">
      <c r="A109" s="9" t="s">
        <v>13</v>
      </c>
      <c r="B109" s="34">
        <f>IF(DAY(Ne1Lis)=1,IF(AND(YEAR(Ne1Lis+1)=RokKalendáře,MONTH(Ne1Lis+1)=11),Ne1Lis+1,""),IF(AND(YEAR(Ne1Lis+8)=RokKalendáře,MONTH(Ne1Lis+8)=11),Ne1Lis+8,""))</f>
        <v>45964</v>
      </c>
      <c r="C109" s="34">
        <f>IF(DAY(Ne1Lis)=1,IF(AND(YEAR(Ne1Lis+2)=RokKalendáře,MONTH(Ne1Lis+2)=11),Ne1Lis+2,""),IF(AND(YEAR(Ne1Lis+9)=RokKalendáře,MONTH(Ne1Lis+9)=11),Ne1Lis+9,""))</f>
        <v>45965</v>
      </c>
      <c r="D109" s="34">
        <f>IF(DAY(Ne1Lis)=1,IF(AND(YEAR(Ne1Lis+3)=RokKalendáře,MONTH(Ne1Lis+3)=11),Ne1Lis+3,""),IF(AND(YEAR(Ne1Lis+10)=RokKalendáře,MONTH(Ne1Lis+10)=11),Ne1Lis+10,""))</f>
        <v>45966</v>
      </c>
      <c r="E109" s="34">
        <v>6</v>
      </c>
      <c r="F109" s="34">
        <v>7</v>
      </c>
      <c r="G109" s="34">
        <v>8</v>
      </c>
      <c r="H109" s="34">
        <f>IF(DAY(Ne1Lis)=1,IF(AND(YEAR(Ne1Lis+7)=RokKalendáře,MONTH(Ne1Lis+7)=11),Ne1Lis+7,""),IF(AND(YEAR(Ne1Lis+14)=RokKalendáře,MONTH(Ne1Lis+14)=11),Ne1Lis+14,""))</f>
        <v>45970</v>
      </c>
      <c r="J109" s="34">
        <f>IF(DAY(Ne1Pro)=1,IF(AND(YEAR(Ne1Pro+1)=RokKalendáře,MONTH(Ne1Pro+1)=12),Ne1Pro+1,""),IF(AND(YEAR(Ne1Pro+8)=RokKalendáře,MONTH(Ne1Pro+8)=12),Ne1Pro+8,""))</f>
        <v>45999</v>
      </c>
      <c r="K109" s="34">
        <f>IF(DAY(Ne1Pro)=1,IF(AND(YEAR(Ne1Pro+2)=RokKalendáře,MONTH(Ne1Pro+2)=12),Ne1Pro+2,""),IF(AND(YEAR(Ne1Pro+9)=RokKalendáře,MONTH(Ne1Pro+9)=12),Ne1Pro+9,""))</f>
        <v>46000</v>
      </c>
      <c r="L109" s="34">
        <f>IF(DAY(Ne1Pro)=1,IF(AND(YEAR(Ne1Pro+3)=RokKalendáře,MONTH(Ne1Pro+3)=12),Ne1Pro+3,""),IF(AND(YEAR(Ne1Pro+10)=RokKalendáře,MONTH(Ne1Pro+10)=12),Ne1Pro+10,""))</f>
        <v>46001</v>
      </c>
      <c r="M109" s="34">
        <v>11</v>
      </c>
      <c r="N109" s="34">
        <v>12</v>
      </c>
      <c r="O109" s="34">
        <f>IF(DAY(Ne1Pro)=1,IF(AND(YEAR(Ne1Pro+6)=RokKalendáře,MONTH(Ne1Pro+6)=12),Ne1Pro+6,""),IF(AND(YEAR(Ne1Pro+13)=RokKalendáře,MONTH(Ne1Pro+13)=12),Ne1Pro+13,""))</f>
        <v>46004</v>
      </c>
      <c r="P109" s="34">
        <f>IF(DAY(Ne1Pro)=1,IF(AND(YEAR(Ne1Pro+7)=RokKalendáře,MONTH(Ne1Pro+7)=12),Ne1Pro+7,""),IF(AND(YEAR(Ne1Pro+14)=RokKalendáře,MONTH(Ne1Pro+14)=12),Ne1Pro+14,""))</f>
        <v>46005</v>
      </c>
      <c r="R109" s="17"/>
      <c r="T109" s="42"/>
      <c r="U109" s="33"/>
      <c r="V109" s="33"/>
      <c r="W109" s="39"/>
      <c r="X109" s="39"/>
      <c r="Y109" s="39"/>
    </row>
    <row r="110" spans="1:30" ht="15" customHeight="1" x14ac:dyDescent="0.25">
      <c r="A110" s="9"/>
      <c r="B110" s="85"/>
      <c r="C110" s="47"/>
      <c r="D110" s="85"/>
      <c r="E110" s="80"/>
      <c r="F110" s="80"/>
      <c r="G110" s="77"/>
      <c r="H110" s="77"/>
      <c r="J110" s="85"/>
      <c r="K110" s="87"/>
      <c r="L110" s="85"/>
      <c r="M110" s="57"/>
      <c r="N110" s="83"/>
      <c r="O110" s="77"/>
      <c r="P110" s="77"/>
      <c r="R110" s="17"/>
      <c r="T110" s="39"/>
      <c r="U110" s="33"/>
      <c r="V110" s="33"/>
      <c r="W110" s="39"/>
      <c r="X110" s="39"/>
      <c r="Y110" s="39"/>
    </row>
    <row r="111" spans="1:30" ht="15" customHeight="1" x14ac:dyDescent="0.25">
      <c r="A111" s="9"/>
      <c r="B111" s="86"/>
      <c r="C111" s="37"/>
      <c r="D111" s="86"/>
      <c r="E111" s="80"/>
      <c r="F111" s="80"/>
      <c r="G111" s="77"/>
      <c r="H111" s="77"/>
      <c r="J111" s="86"/>
      <c r="K111" s="88"/>
      <c r="L111" s="86"/>
      <c r="M111" s="58"/>
      <c r="N111" s="83"/>
      <c r="O111" s="77"/>
      <c r="P111" s="77"/>
      <c r="R111" s="17"/>
      <c r="T111" s="39"/>
      <c r="U111" s="33"/>
      <c r="V111" s="33"/>
      <c r="W111" s="39"/>
      <c r="X111" s="39"/>
      <c r="Y111" s="39"/>
    </row>
    <row r="112" spans="1:30" ht="15" customHeight="1" x14ac:dyDescent="0.25">
      <c r="B112" s="34">
        <f>IF(DAY(Ne1Lis)=1,IF(AND(YEAR(Ne1Lis+8)=RokKalendáře,MONTH(Ne1Lis+8)=11),Ne1Lis+8,""),IF(AND(YEAR(Ne1Lis+15)=RokKalendáře,MONTH(Ne1Lis+15)=11),Ne1Lis+15,""))</f>
        <v>45971</v>
      </c>
      <c r="C112" s="34">
        <f>IF(DAY(Ne1Lis)=1,IF(AND(YEAR(Ne1Lis+9)=RokKalendáře,MONTH(Ne1Lis+9)=11),Ne1Lis+9,""),IF(AND(YEAR(Ne1Lis+16)=RokKalendáře,MONTH(Ne1Lis+16)=11),Ne1Lis+16,""))</f>
        <v>45972</v>
      </c>
      <c r="D112" s="34">
        <f>IF(DAY(Ne1Lis)=1,IF(AND(YEAR(Ne1Lis+10)=RokKalendáře,MONTH(Ne1Lis+10)=11),Ne1Lis+10,""),IF(AND(YEAR(Ne1Lis+17)=RokKalendáře,MONTH(Ne1Lis+17)=11),Ne1Lis+17,""))</f>
        <v>45973</v>
      </c>
      <c r="E112" s="34">
        <v>13</v>
      </c>
      <c r="F112" s="34">
        <v>14</v>
      </c>
      <c r="G112" s="34">
        <v>15</v>
      </c>
      <c r="H112" s="34">
        <f>IF(DAY(Ne1Lis)=1,IF(AND(YEAR(Ne1Lis+14)=RokKalendáře,MONTH(Ne1Lis+14)=11),Ne1Lis+14,""),IF(AND(YEAR(Ne1Lis+21)=RokKalendáře,MONTH(Ne1Lis+21)=11),Ne1Lis+21,""))</f>
        <v>45977</v>
      </c>
      <c r="J112" s="34">
        <f>IF(DAY(Ne1Pro)=1,IF(AND(YEAR(Ne1Pro+8)=RokKalendáře,MONTH(Ne1Pro+8)=12),Ne1Pro+8,""),IF(AND(YEAR(Ne1Pro+15)=RokKalendáře,MONTH(Ne1Pro+15)=12),Ne1Pro+15,""))</f>
        <v>46006</v>
      </c>
      <c r="K112" s="34">
        <f>IF(DAY(Ne1Pro)=1,IF(AND(YEAR(Ne1Pro+9)=RokKalendáře,MONTH(Ne1Pro+9)=12),Ne1Pro+9,""),IF(AND(YEAR(Ne1Pro+16)=RokKalendáře,MONTH(Ne1Pro+16)=12),Ne1Pro+16,""))</f>
        <v>46007</v>
      </c>
      <c r="L112" s="34">
        <f>IF(DAY(Ne1Pro)=1,IF(AND(YEAR(Ne1Pro+10)=RokKalendáře,MONTH(Ne1Pro+10)=12),Ne1Pro+10,""),IF(AND(YEAR(Ne1Pro+17)=RokKalendáře,MONTH(Ne1Pro+17)=12),Ne1Pro+17,""))</f>
        <v>46008</v>
      </c>
      <c r="M112" s="34">
        <v>18</v>
      </c>
      <c r="N112" s="34">
        <v>19</v>
      </c>
      <c r="O112" s="34">
        <f>IF(DAY(Ne1Pro)=1,IF(AND(YEAR(Ne1Pro+13)=RokKalendáře,MONTH(Ne1Pro+13)=12),Ne1Pro+13,""),IF(AND(YEAR(Ne1Pro+20)=RokKalendáře,MONTH(Ne1Pro+20)=12),Ne1Pro+20,""))</f>
        <v>46011</v>
      </c>
      <c r="P112" s="34">
        <f>IF(DAY(Ne1Pro)=1,IF(AND(YEAR(Ne1Pro+14)=RokKalendáře,MONTH(Ne1Pro+14)=12),Ne1Pro+14,""),IF(AND(YEAR(Ne1Pro+21)=RokKalendáře,MONTH(Ne1Pro+21)=12),Ne1Pro+21,""))</f>
        <v>46012</v>
      </c>
      <c r="R112" s="17"/>
      <c r="T112" s="43"/>
      <c r="U112" s="33"/>
      <c r="V112" s="33"/>
      <c r="W112" s="39"/>
      <c r="X112" s="39"/>
      <c r="Y112" s="39"/>
    </row>
    <row r="113" spans="2:30" ht="15" customHeight="1" x14ac:dyDescent="0.25">
      <c r="B113" s="85"/>
      <c r="C113" s="87"/>
      <c r="D113" s="85"/>
      <c r="E113" s="57"/>
      <c r="F113" s="83"/>
      <c r="G113" s="77"/>
      <c r="H113" s="77"/>
      <c r="J113" s="85"/>
      <c r="K113" s="95"/>
      <c r="L113" s="85"/>
      <c r="M113" s="80"/>
      <c r="N113" s="80"/>
      <c r="O113" s="77"/>
      <c r="P113" s="77"/>
      <c r="R113" s="17"/>
      <c r="T113" s="44"/>
      <c r="U113" s="33"/>
      <c r="V113" s="33"/>
      <c r="W113" s="39"/>
      <c r="X113" s="39"/>
      <c r="Y113" s="39"/>
    </row>
    <row r="114" spans="2:30" ht="15" customHeight="1" x14ac:dyDescent="0.25">
      <c r="B114" s="86"/>
      <c r="C114" s="88"/>
      <c r="D114" s="86"/>
      <c r="E114" s="58"/>
      <c r="F114" s="83"/>
      <c r="G114" s="77"/>
      <c r="H114" s="77"/>
      <c r="J114" s="86"/>
      <c r="K114" s="96"/>
      <c r="L114" s="86"/>
      <c r="M114" s="80"/>
      <c r="N114" s="80"/>
      <c r="O114" s="77"/>
      <c r="P114" s="77"/>
      <c r="R114" s="17"/>
      <c r="T114" s="6"/>
      <c r="U114" s="1"/>
      <c r="V114" s="1"/>
    </row>
    <row r="115" spans="2:30" ht="15" customHeight="1" x14ac:dyDescent="0.25">
      <c r="B115" s="34">
        <f>IF(DAY(Ne1Lis)=1,IF(AND(YEAR(Ne1Lis+15)=RokKalendáře,MONTH(Ne1Lis+15)=11),Ne1Lis+15,""),IF(AND(YEAR(Ne1Lis+22)=RokKalendáře,MONTH(Ne1Lis+22)=11),Ne1Lis+22,""))</f>
        <v>45978</v>
      </c>
      <c r="C115" s="34">
        <f>IF(DAY(Ne1Lis)=1,IF(AND(YEAR(Ne1Lis+16)=RokKalendáře,MONTH(Ne1Lis+16)=11),Ne1Lis+16,""),IF(AND(YEAR(Ne1Lis+23)=RokKalendáře,MONTH(Ne1Lis+23)=11),Ne1Lis+23,""))</f>
        <v>45979</v>
      </c>
      <c r="D115" s="34">
        <f>IF(DAY(Ne1Lis)=1,IF(AND(YEAR(Ne1Lis+17)=RokKalendáře,MONTH(Ne1Lis+17)=11),Ne1Lis+17,""),IF(AND(YEAR(Ne1Lis+24)=RokKalendáře,MONTH(Ne1Lis+24)=11),Ne1Lis+24,""))</f>
        <v>45980</v>
      </c>
      <c r="E115" s="34">
        <v>20</v>
      </c>
      <c r="F115" s="34">
        <v>21</v>
      </c>
      <c r="G115" s="34">
        <v>22</v>
      </c>
      <c r="H115" s="34">
        <f>IF(DAY(Ne1Lis)=1,IF(AND(YEAR(Ne1Lis+21)=RokKalendáře,MONTH(Ne1Lis+21)=11),Ne1Lis+21,""),IF(AND(YEAR(Ne1Lis+28)=RokKalendáře,MONTH(Ne1Lis+28)=11),Ne1Lis+28,""))</f>
        <v>45984</v>
      </c>
      <c r="J115" s="34">
        <f>IF(DAY(Ne1Pro)=1,IF(AND(YEAR(Ne1Pro+15)=RokKalendáře,MONTH(Ne1Pro+15)=12),Ne1Pro+15,""),IF(AND(YEAR(Ne1Pro+22)=RokKalendáře,MONTH(Ne1Pro+22)=12),Ne1Pro+22,""))</f>
        <v>46013</v>
      </c>
      <c r="K115" s="34">
        <f>IF(DAY(Ne1Pro)=1,IF(AND(YEAR(Ne1Pro+16)=RokKalendáře,MONTH(Ne1Pro+16)=12),Ne1Pro+16,""),IF(AND(YEAR(Ne1Pro+23)=RokKalendáře,MONTH(Ne1Pro+23)=12),Ne1Pro+23,""))</f>
        <v>46014</v>
      </c>
      <c r="L115" s="34">
        <f>IF(DAY(Ne1Pro)=1,IF(AND(YEAR(Ne1Pro+17)=RokKalendáře,MONTH(Ne1Pro+17)=12),Ne1Pro+17,""),IF(AND(YEAR(Ne1Pro+24)=RokKalendáře,MONTH(Ne1Pro+24)=12),Ne1Pro+24,""))</f>
        <v>46015</v>
      </c>
      <c r="M115" s="34">
        <v>25</v>
      </c>
      <c r="N115" s="34">
        <v>26</v>
      </c>
      <c r="O115" s="34">
        <f>IF(DAY(Ne1Pro)=1,IF(AND(YEAR(Ne1Pro+20)=RokKalendáře,MONTH(Ne1Pro+20)=12),Ne1Pro+20,""),IF(AND(YEAR(Ne1Pro+27)=RokKalendáře,MONTH(Ne1Pro+27)=12),Ne1Pro+27,""))</f>
        <v>46018</v>
      </c>
      <c r="P115" s="34">
        <f>IF(DAY(Ne1Pro)=1,IF(AND(YEAR(Ne1Pro+21)=RokKalendáře,MONTH(Ne1Pro+21)=12),Ne1Pro+21,""),IF(AND(YEAR(Ne1Pro+28)=RokKalendáře,MONTH(Ne1Pro+28)=12),Ne1Pro+28,""))</f>
        <v>46019</v>
      </c>
      <c r="R115" s="17"/>
      <c r="T115" s="3"/>
      <c r="U115" s="1"/>
      <c r="V115" s="1"/>
    </row>
    <row r="116" spans="2:30" ht="15" customHeight="1" x14ac:dyDescent="0.25">
      <c r="B116" s="85"/>
      <c r="C116" s="85"/>
      <c r="D116" s="85"/>
      <c r="E116" s="80"/>
      <c r="F116" s="80"/>
      <c r="G116" s="77"/>
      <c r="H116" s="77"/>
      <c r="J116" s="85"/>
      <c r="K116" s="87"/>
      <c r="L116" s="85"/>
      <c r="M116" s="57"/>
      <c r="N116" s="83"/>
      <c r="O116" s="77"/>
      <c r="P116" s="77"/>
      <c r="R116" s="17"/>
      <c r="T116" s="3"/>
      <c r="U116" s="1"/>
      <c r="V116" s="1"/>
    </row>
    <row r="117" spans="2:30" ht="15" customHeight="1" x14ac:dyDescent="0.25">
      <c r="B117" s="86"/>
      <c r="C117" s="86"/>
      <c r="D117" s="86"/>
      <c r="E117" s="80"/>
      <c r="F117" s="80"/>
      <c r="G117" s="77"/>
      <c r="H117" s="77"/>
      <c r="J117" s="86"/>
      <c r="K117" s="88"/>
      <c r="L117" s="86"/>
      <c r="M117" s="58"/>
      <c r="N117" s="83"/>
      <c r="O117" s="77"/>
      <c r="P117" s="77"/>
      <c r="R117" s="17"/>
      <c r="T117" s="4"/>
      <c r="U117" s="1"/>
      <c r="V117" s="1"/>
    </row>
    <row r="118" spans="2:30" ht="15" customHeight="1" x14ac:dyDescent="0.25">
      <c r="B118" s="34">
        <f>IF(DAY(Ne1Lis)=1,IF(AND(YEAR(Ne1Lis+22)=RokKalendáře,MONTH(Ne1Lis+22)=11),Ne1Lis+22,""),IF(AND(YEAR(Ne1Lis+29)=RokKalendáře,MONTH(Ne1Lis+29)=11),Ne1Lis+29,""))</f>
        <v>45985</v>
      </c>
      <c r="C118" s="34">
        <f>IF(DAY(Ne1Lis)=1,IF(AND(YEAR(Ne1Lis+23)=RokKalendáře,MONTH(Ne1Lis+23)=11),Ne1Lis+23,""),IF(AND(YEAR(Ne1Lis+30)=RokKalendáře,MONTH(Ne1Lis+30)=11),Ne1Lis+30,""))</f>
        <v>45986</v>
      </c>
      <c r="D118" s="34">
        <f>IF(DAY(Ne1Lis)=1,IF(AND(YEAR(Ne1Lis+24)=RokKalendáře,MONTH(Ne1Lis+24)=11),Ne1Lis+24,""),IF(AND(YEAR(Ne1Lis+31)=RokKalendáře,MONTH(Ne1Lis+31)=11),Ne1Lis+31,""))</f>
        <v>45987</v>
      </c>
      <c r="E118" s="34">
        <v>27</v>
      </c>
      <c r="F118" s="34">
        <v>28</v>
      </c>
      <c r="G118" s="34">
        <v>29</v>
      </c>
      <c r="H118" s="34">
        <f>IF(DAY(Ne1Lis)=1,IF(AND(YEAR(Ne1Lis+28)=RokKalendáře,MONTH(Ne1Lis+28)=11),Ne1Lis+28,""),IF(AND(YEAR(Ne1Lis+35)=RokKalendáře,MONTH(Ne1Lis+35)=11),Ne1Lis+35,""))</f>
        <v>45991</v>
      </c>
      <c r="J118" s="34">
        <f>IF(DAY(Ne1Pro)=1,IF(AND(YEAR(Ne1Pro+22)=RokKalendáře,MONTH(Ne1Pro+22)=12),Ne1Pro+22,""),IF(AND(YEAR(Ne1Pro+29)=RokKalendáře,MONTH(Ne1Pro+29)=12),Ne1Pro+29,""))</f>
        <v>46020</v>
      </c>
      <c r="K118" s="34">
        <f>IF(DAY(Ne1Pro)=1,IF(AND(YEAR(Ne1Pro+23)=RokKalendáře,MONTH(Ne1Pro+23)=12),Ne1Pro+23,""),IF(AND(YEAR(Ne1Pro+30)=RokKalendáře,MONTH(Ne1Pro+30)=12),Ne1Pro+30,""))</f>
        <v>46021</v>
      </c>
      <c r="L118" s="34">
        <f>IF(DAY(Ne1Pro)=1,IF(AND(YEAR(Ne1Pro+24)=RokKalendáře,MONTH(Ne1Pro+24)=12),Ne1Pro+24,""),IF(AND(YEAR(Ne1Pro+31)=RokKalendáře,MONTH(Ne1Pro+31)=12),Ne1Pro+31,""))</f>
        <v>46022</v>
      </c>
      <c r="M118" s="34"/>
      <c r="N118" s="34"/>
      <c r="O118" s="34"/>
      <c r="P118" s="34"/>
      <c r="R118" s="17"/>
      <c r="T118" s="4"/>
      <c r="U118" s="1"/>
      <c r="V118" s="1"/>
    </row>
    <row r="119" spans="2:30" ht="15" customHeight="1" x14ac:dyDescent="0.25">
      <c r="B119" s="85"/>
      <c r="C119" s="87"/>
      <c r="D119" s="85"/>
      <c r="E119" s="57"/>
      <c r="F119" s="83"/>
      <c r="G119" s="77"/>
      <c r="H119" s="77"/>
      <c r="J119" s="85"/>
      <c r="K119" s="89"/>
      <c r="L119" s="85"/>
      <c r="M119" s="85"/>
      <c r="N119" s="85"/>
      <c r="O119" s="85"/>
      <c r="P119" s="85"/>
      <c r="R119" s="17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2:30" ht="15" customHeight="1" x14ac:dyDescent="0.25">
      <c r="B120" s="86"/>
      <c r="C120" s="88"/>
      <c r="D120" s="86"/>
      <c r="E120" s="58"/>
      <c r="F120" s="83"/>
      <c r="G120" s="77"/>
      <c r="H120" s="77"/>
      <c r="J120" s="86"/>
      <c r="K120" s="90"/>
      <c r="L120" s="86"/>
      <c r="M120" s="86"/>
      <c r="N120" s="86"/>
      <c r="O120" s="86"/>
      <c r="P120" s="86"/>
      <c r="R120" s="17"/>
      <c r="T120" s="45"/>
    </row>
    <row r="121" spans="2:30" ht="15" customHeight="1" x14ac:dyDescent="0.25">
      <c r="R121" s="17"/>
      <c r="T121" s="45"/>
    </row>
    <row r="122" spans="2:30" ht="15" customHeight="1" x14ac:dyDescent="0.3">
      <c r="R122" s="17"/>
      <c r="T122" s="18"/>
    </row>
    <row r="123" spans="2:30" ht="15" customHeight="1" x14ac:dyDescent="0.2"/>
    <row r="124" spans="2:30" ht="15" customHeight="1" x14ac:dyDescent="0.2"/>
    <row r="125" spans="2:30" ht="15" customHeight="1" x14ac:dyDescent="0.2"/>
    <row r="126" spans="2:30" ht="15" customHeight="1" x14ac:dyDescent="0.2"/>
    <row r="127" spans="2:30" ht="15" customHeight="1" x14ac:dyDescent="0.2"/>
    <row r="128" spans="2:30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</sheetData>
  <mergeCells count="421">
    <mergeCell ref="T86:AC92"/>
    <mergeCell ref="T95:AC98"/>
    <mergeCell ref="T101:AB102"/>
    <mergeCell ref="O107:O108"/>
    <mergeCell ref="P107:P108"/>
    <mergeCell ref="O110:O111"/>
    <mergeCell ref="P110:P111"/>
    <mergeCell ref="O113:O114"/>
    <mergeCell ref="P113:P114"/>
    <mergeCell ref="M119:M120"/>
    <mergeCell ref="N119:N120"/>
    <mergeCell ref="O119:O120"/>
    <mergeCell ref="P119:P120"/>
    <mergeCell ref="G119:G120"/>
    <mergeCell ref="H119:H120"/>
    <mergeCell ref="J107:J108"/>
    <mergeCell ref="K107:K108"/>
    <mergeCell ref="L107:L108"/>
    <mergeCell ref="J110:J111"/>
    <mergeCell ref="K110:K111"/>
    <mergeCell ref="L110:L111"/>
    <mergeCell ref="J113:J114"/>
    <mergeCell ref="K113:K114"/>
    <mergeCell ref="L113:L114"/>
    <mergeCell ref="J116:J117"/>
    <mergeCell ref="K116:K117"/>
    <mergeCell ref="L116:L117"/>
    <mergeCell ref="J119:J120"/>
    <mergeCell ref="K119:K120"/>
    <mergeCell ref="M107:M108"/>
    <mergeCell ref="O116:O117"/>
    <mergeCell ref="P116:P117"/>
    <mergeCell ref="C116:C117"/>
    <mergeCell ref="D116:D117"/>
    <mergeCell ref="B119:B120"/>
    <mergeCell ref="C119:C120"/>
    <mergeCell ref="D119:D120"/>
    <mergeCell ref="F119:F120"/>
    <mergeCell ref="N116:N117"/>
    <mergeCell ref="B107:B108"/>
    <mergeCell ref="C107:C108"/>
    <mergeCell ref="D107:D108"/>
    <mergeCell ref="E107:E108"/>
    <mergeCell ref="F107:F108"/>
    <mergeCell ref="G107:G108"/>
    <mergeCell ref="H107:H108"/>
    <mergeCell ref="B110:B111"/>
    <mergeCell ref="D110:D111"/>
    <mergeCell ref="B113:B114"/>
    <mergeCell ref="C113:C114"/>
    <mergeCell ref="D113:D114"/>
    <mergeCell ref="B116:B117"/>
    <mergeCell ref="N107:N108"/>
    <mergeCell ref="M113:M114"/>
    <mergeCell ref="N113:N114"/>
    <mergeCell ref="L119:L120"/>
    <mergeCell ref="F113:F114"/>
    <mergeCell ref="N110:N111"/>
    <mergeCell ref="G110:G111"/>
    <mergeCell ref="H110:H111"/>
    <mergeCell ref="G113:G114"/>
    <mergeCell ref="H113:H114"/>
    <mergeCell ref="E110:E111"/>
    <mergeCell ref="F110:F111"/>
    <mergeCell ref="E116:E117"/>
    <mergeCell ref="F116:F117"/>
    <mergeCell ref="G116:G117"/>
    <mergeCell ref="H116:H117"/>
    <mergeCell ref="J101:J102"/>
    <mergeCell ref="K101:K102"/>
    <mergeCell ref="L101:L102"/>
    <mergeCell ref="O89:O90"/>
    <mergeCell ref="P89:P90"/>
    <mergeCell ref="O92:O93"/>
    <mergeCell ref="P92:P93"/>
    <mergeCell ref="O95:O96"/>
    <mergeCell ref="P95:P96"/>
    <mergeCell ref="O98:O99"/>
    <mergeCell ref="P98:P99"/>
    <mergeCell ref="O101:O102"/>
    <mergeCell ref="P101:P102"/>
    <mergeCell ref="N89:N90"/>
    <mergeCell ref="L89:L90"/>
    <mergeCell ref="L92:L93"/>
    <mergeCell ref="L95:L96"/>
    <mergeCell ref="L98:L99"/>
    <mergeCell ref="M92:M93"/>
    <mergeCell ref="B92:B93"/>
    <mergeCell ref="C92:C93"/>
    <mergeCell ref="D92:D93"/>
    <mergeCell ref="J89:J90"/>
    <mergeCell ref="K89:K90"/>
    <mergeCell ref="J92:J93"/>
    <mergeCell ref="K92:K93"/>
    <mergeCell ref="B98:B99"/>
    <mergeCell ref="C98:C99"/>
    <mergeCell ref="D98:D99"/>
    <mergeCell ref="B95:B96"/>
    <mergeCell ref="C95:C96"/>
    <mergeCell ref="D95:D96"/>
    <mergeCell ref="F89:F90"/>
    <mergeCell ref="J95:J96"/>
    <mergeCell ref="K95:K96"/>
    <mergeCell ref="J98:J99"/>
    <mergeCell ref="E92:E93"/>
    <mergeCell ref="F92:F93"/>
    <mergeCell ref="E98:E99"/>
    <mergeCell ref="F98:F99"/>
    <mergeCell ref="D101:D102"/>
    <mergeCell ref="E101:E102"/>
    <mergeCell ref="F101:F102"/>
    <mergeCell ref="G101:G102"/>
    <mergeCell ref="H101:H102"/>
    <mergeCell ref="N101:N102"/>
    <mergeCell ref="F95:F96"/>
    <mergeCell ref="N95:N96"/>
    <mergeCell ref="B89:B90"/>
    <mergeCell ref="C89:C90"/>
    <mergeCell ref="D89:D90"/>
    <mergeCell ref="G89:G90"/>
    <mergeCell ref="H89:H90"/>
    <mergeCell ref="G92:G93"/>
    <mergeCell ref="H92:H93"/>
    <mergeCell ref="G95:G96"/>
    <mergeCell ref="H95:H96"/>
    <mergeCell ref="G98:G99"/>
    <mergeCell ref="H98:H99"/>
    <mergeCell ref="B101:B102"/>
    <mergeCell ref="C101:C102"/>
    <mergeCell ref="N92:N93"/>
    <mergeCell ref="M98:M99"/>
    <mergeCell ref="N98:N99"/>
    <mergeCell ref="J83:J84"/>
    <mergeCell ref="K83:K84"/>
    <mergeCell ref="L83:L84"/>
    <mergeCell ref="O74:O75"/>
    <mergeCell ref="P74:P75"/>
    <mergeCell ref="O77:O78"/>
    <mergeCell ref="P77:P78"/>
    <mergeCell ref="J77:J78"/>
    <mergeCell ref="L77:L78"/>
    <mergeCell ref="J74:J75"/>
    <mergeCell ref="K74:K75"/>
    <mergeCell ref="L74:L75"/>
    <mergeCell ref="J80:J81"/>
    <mergeCell ref="K80:K81"/>
    <mergeCell ref="L80:L81"/>
    <mergeCell ref="O80:O81"/>
    <mergeCell ref="P80:P81"/>
    <mergeCell ref="O83:O84"/>
    <mergeCell ref="P83:P84"/>
    <mergeCell ref="C80:C81"/>
    <mergeCell ref="D80:D81"/>
    <mergeCell ref="G80:G81"/>
    <mergeCell ref="H80:H81"/>
    <mergeCell ref="B74:B75"/>
    <mergeCell ref="C74:C75"/>
    <mergeCell ref="D74:D75"/>
    <mergeCell ref="G74:G75"/>
    <mergeCell ref="H74:H75"/>
    <mergeCell ref="B77:B78"/>
    <mergeCell ref="C77:C78"/>
    <mergeCell ref="D77:D78"/>
    <mergeCell ref="E77:E78"/>
    <mergeCell ref="F77:F78"/>
    <mergeCell ref="O71:O72"/>
    <mergeCell ref="P71:P72"/>
    <mergeCell ref="B83:B84"/>
    <mergeCell ref="D83:D84"/>
    <mergeCell ref="F83:F84"/>
    <mergeCell ref="G83:G84"/>
    <mergeCell ref="H83:H84"/>
    <mergeCell ref="F74:F75"/>
    <mergeCell ref="N74:N75"/>
    <mergeCell ref="M77:M78"/>
    <mergeCell ref="N77:N78"/>
    <mergeCell ref="N83:N84"/>
    <mergeCell ref="F80:F81"/>
    <mergeCell ref="N80:N81"/>
    <mergeCell ref="M83:M84"/>
    <mergeCell ref="G77:G78"/>
    <mergeCell ref="H77:H78"/>
    <mergeCell ref="E83:E84"/>
    <mergeCell ref="N71:N72"/>
    <mergeCell ref="J71:J72"/>
    <mergeCell ref="K71:K72"/>
    <mergeCell ref="L71:L72"/>
    <mergeCell ref="M71:M72"/>
    <mergeCell ref="B80:B81"/>
    <mergeCell ref="K2:N2"/>
    <mergeCell ref="B71:B72"/>
    <mergeCell ref="C71:C72"/>
    <mergeCell ref="D71:D72"/>
    <mergeCell ref="E71:E72"/>
    <mergeCell ref="F71:F72"/>
    <mergeCell ref="G71:G72"/>
    <mergeCell ref="H71:H72"/>
    <mergeCell ref="K66:N66"/>
    <mergeCell ref="N58:N59"/>
    <mergeCell ref="N52:N53"/>
    <mergeCell ref="M46:M47"/>
    <mergeCell ref="N46:N47"/>
    <mergeCell ref="G58:G59"/>
    <mergeCell ref="H58:H59"/>
    <mergeCell ref="B58:B59"/>
    <mergeCell ref="C58:C59"/>
    <mergeCell ref="D58:D59"/>
    <mergeCell ref="F58:F59"/>
    <mergeCell ref="G52:G53"/>
    <mergeCell ref="H52:H53"/>
    <mergeCell ref="B55:B56"/>
    <mergeCell ref="D55:D56"/>
    <mergeCell ref="B52:B53"/>
    <mergeCell ref="P55:P56"/>
    <mergeCell ref="J52:J53"/>
    <mergeCell ref="K52:K53"/>
    <mergeCell ref="L52:L53"/>
    <mergeCell ref="O58:O59"/>
    <mergeCell ref="P58:P59"/>
    <mergeCell ref="J61:J62"/>
    <mergeCell ref="K61:K62"/>
    <mergeCell ref="L61:L62"/>
    <mergeCell ref="M61:M62"/>
    <mergeCell ref="N61:N62"/>
    <mergeCell ref="O61:O62"/>
    <mergeCell ref="P61:P62"/>
    <mergeCell ref="J58:J59"/>
    <mergeCell ref="K58:K59"/>
    <mergeCell ref="L58:L59"/>
    <mergeCell ref="C52:C53"/>
    <mergeCell ref="D52:D53"/>
    <mergeCell ref="F52:F53"/>
    <mergeCell ref="G46:G47"/>
    <mergeCell ref="H46:H47"/>
    <mergeCell ref="B49:B50"/>
    <mergeCell ref="D49:D50"/>
    <mergeCell ref="E49:E50"/>
    <mergeCell ref="F49:F50"/>
    <mergeCell ref="G49:G50"/>
    <mergeCell ref="H49:H50"/>
    <mergeCell ref="B46:B47"/>
    <mergeCell ref="C46:C47"/>
    <mergeCell ref="D46:D47"/>
    <mergeCell ref="F46:F47"/>
    <mergeCell ref="E55:E56"/>
    <mergeCell ref="F55:F56"/>
    <mergeCell ref="G55:G56"/>
    <mergeCell ref="H55:H56"/>
    <mergeCell ref="O46:O47"/>
    <mergeCell ref="P46:P47"/>
    <mergeCell ref="J49:J50"/>
    <mergeCell ref="K49:K50"/>
    <mergeCell ref="L49:L50"/>
    <mergeCell ref="M49:M50"/>
    <mergeCell ref="N49:N50"/>
    <mergeCell ref="O49:O50"/>
    <mergeCell ref="P49:P50"/>
    <mergeCell ref="J46:J47"/>
    <mergeCell ref="K46:K47"/>
    <mergeCell ref="L46:L47"/>
    <mergeCell ref="O52:O53"/>
    <mergeCell ref="P52:P53"/>
    <mergeCell ref="J55:J56"/>
    <mergeCell ref="K55:K56"/>
    <mergeCell ref="L55:L56"/>
    <mergeCell ref="M55:M56"/>
    <mergeCell ref="N55:N56"/>
    <mergeCell ref="O55:O56"/>
    <mergeCell ref="B40:B41"/>
    <mergeCell ref="C40:C41"/>
    <mergeCell ref="D40:D41"/>
    <mergeCell ref="E40:E41"/>
    <mergeCell ref="F40:F41"/>
    <mergeCell ref="G40:G41"/>
    <mergeCell ref="H40:H41"/>
    <mergeCell ref="B37:B38"/>
    <mergeCell ref="C37:C38"/>
    <mergeCell ref="D37:D38"/>
    <mergeCell ref="E37:E38"/>
    <mergeCell ref="F37:F38"/>
    <mergeCell ref="J13:J14"/>
    <mergeCell ref="L13:L14"/>
    <mergeCell ref="O13:O14"/>
    <mergeCell ref="P16:P17"/>
    <mergeCell ref="O19:O20"/>
    <mergeCell ref="P19:P20"/>
    <mergeCell ref="G34:G35"/>
    <mergeCell ref="H34:H35"/>
    <mergeCell ref="O37:O38"/>
    <mergeCell ref="P37:P38"/>
    <mergeCell ref="T37:AB38"/>
    <mergeCell ref="T31:AC34"/>
    <mergeCell ref="T22:AC28"/>
    <mergeCell ref="G37:G38"/>
    <mergeCell ref="H37:H38"/>
    <mergeCell ref="P25:P26"/>
    <mergeCell ref="J28:J29"/>
    <mergeCell ref="K28:K29"/>
    <mergeCell ref="L28:L29"/>
    <mergeCell ref="M28:M29"/>
    <mergeCell ref="N28:N29"/>
    <mergeCell ref="O28:O29"/>
    <mergeCell ref="P28:P29"/>
    <mergeCell ref="P31:P32"/>
    <mergeCell ref="J34:J35"/>
    <mergeCell ref="K34:K35"/>
    <mergeCell ref="L34:L35"/>
    <mergeCell ref="M34:M35"/>
    <mergeCell ref="N34:N35"/>
    <mergeCell ref="O34:O35"/>
    <mergeCell ref="P34:P35"/>
    <mergeCell ref="J31:J32"/>
    <mergeCell ref="K31:K32"/>
    <mergeCell ref="L31:L32"/>
    <mergeCell ref="N31:N32"/>
    <mergeCell ref="O25:O26"/>
    <mergeCell ref="B28:B29"/>
    <mergeCell ref="C28:C29"/>
    <mergeCell ref="D28:D29"/>
    <mergeCell ref="G28:G29"/>
    <mergeCell ref="H28:H29"/>
    <mergeCell ref="B34:B35"/>
    <mergeCell ref="C34:C35"/>
    <mergeCell ref="J37:J38"/>
    <mergeCell ref="K37:K38"/>
    <mergeCell ref="L37:L38"/>
    <mergeCell ref="M37:M38"/>
    <mergeCell ref="N37:N38"/>
    <mergeCell ref="O31:O32"/>
    <mergeCell ref="B31:B32"/>
    <mergeCell ref="C31:C32"/>
    <mergeCell ref="D31:D32"/>
    <mergeCell ref="E31:E32"/>
    <mergeCell ref="F31:F32"/>
    <mergeCell ref="G31:G32"/>
    <mergeCell ref="H31:H32"/>
    <mergeCell ref="D34:D35"/>
    <mergeCell ref="F34:F35"/>
    <mergeCell ref="F25:F26"/>
    <mergeCell ref="G25:G26"/>
    <mergeCell ref="H25:H26"/>
    <mergeCell ref="J25:J26"/>
    <mergeCell ref="K25:K26"/>
    <mergeCell ref="L25:L26"/>
    <mergeCell ref="N25:N26"/>
    <mergeCell ref="J19:J20"/>
    <mergeCell ref="L19:L20"/>
    <mergeCell ref="M19:M20"/>
    <mergeCell ref="N19:N20"/>
    <mergeCell ref="B86:H86"/>
    <mergeCell ref="J86:P86"/>
    <mergeCell ref="N10:N11"/>
    <mergeCell ref="O16:O17"/>
    <mergeCell ref="B10:B11"/>
    <mergeCell ref="C10:C11"/>
    <mergeCell ref="G10:G11"/>
    <mergeCell ref="H10:H11"/>
    <mergeCell ref="O7:O8"/>
    <mergeCell ref="P7:P8"/>
    <mergeCell ref="J7:J8"/>
    <mergeCell ref="K7:K8"/>
    <mergeCell ref="L7:L8"/>
    <mergeCell ref="M7:M8"/>
    <mergeCell ref="N7:N8"/>
    <mergeCell ref="F16:F17"/>
    <mergeCell ref="E7:E8"/>
    <mergeCell ref="F7:F8"/>
    <mergeCell ref="D7:D8"/>
    <mergeCell ref="C7:C8"/>
    <mergeCell ref="B7:B8"/>
    <mergeCell ref="E13:E14"/>
    <mergeCell ref="F13:F14"/>
    <mergeCell ref="M13:M14"/>
    <mergeCell ref="B16:B17"/>
    <mergeCell ref="C16:C17"/>
    <mergeCell ref="D16:D17"/>
    <mergeCell ref="F28:F29"/>
    <mergeCell ref="B4:H4"/>
    <mergeCell ref="J4:P4"/>
    <mergeCell ref="F10:F11"/>
    <mergeCell ref="D10:D11"/>
    <mergeCell ref="O10:O11"/>
    <mergeCell ref="P10:P11"/>
    <mergeCell ref="N13:N14"/>
    <mergeCell ref="G7:G8"/>
    <mergeCell ref="H7:H8"/>
    <mergeCell ref="J16:J17"/>
    <mergeCell ref="K16:K17"/>
    <mergeCell ref="L16:L17"/>
    <mergeCell ref="N16:N17"/>
    <mergeCell ref="F19:F20"/>
    <mergeCell ref="G19:G20"/>
    <mergeCell ref="H19:H20"/>
    <mergeCell ref="B25:B26"/>
    <mergeCell ref="C25:C26"/>
    <mergeCell ref="D25:D26"/>
    <mergeCell ref="E25:E26"/>
    <mergeCell ref="Z9:AB9"/>
    <mergeCell ref="Z75:AB75"/>
    <mergeCell ref="U10:W10"/>
    <mergeCell ref="U76:W76"/>
    <mergeCell ref="B104:H104"/>
    <mergeCell ref="J104:P104"/>
    <mergeCell ref="B22:H22"/>
    <mergeCell ref="J22:P22"/>
    <mergeCell ref="B43:H43"/>
    <mergeCell ref="J43:P43"/>
    <mergeCell ref="B68:H68"/>
    <mergeCell ref="J68:P68"/>
    <mergeCell ref="P13:P14"/>
    <mergeCell ref="G13:G14"/>
    <mergeCell ref="H13:H14"/>
    <mergeCell ref="G16:G17"/>
    <mergeCell ref="H16:H17"/>
    <mergeCell ref="B19:B20"/>
    <mergeCell ref="C19:C20"/>
    <mergeCell ref="D19:D20"/>
    <mergeCell ref="E19:E20"/>
    <mergeCell ref="B13:B14"/>
    <mergeCell ref="C13:C14"/>
    <mergeCell ref="D13:D14"/>
  </mergeCells>
  <phoneticPr fontId="4" type="noConversion"/>
  <dataValidations count="1">
    <dataValidation allowBlank="1" showInputMessage="1" showErrorMessage="1" errorTitle="Neplatný rok" error="Zadejte rok v rozmezí let 1900 až 9999 nebo ho najděte pomocí posuvníku." sqref="K2 K66" xr:uid="{00000000-0002-0000-0000-000000000000}"/>
  </dataValidations>
  <printOptions horizontalCentered="1"/>
  <pageMargins left="0.11811023622047245" right="0.11811023622047245" top="0.31496062992125984" bottom="0.31496062992125984" header="0.31496062992125984" footer="0.31496062992125984"/>
  <pageSetup paperSize="9" scale="8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Číselník">
              <controlPr defaultSize="0" print="0" autoPict="0" altText="Kalendářní rok můžete změnit pomocí číselníku nebo zadáním do buňky C1.">
                <anchor moveWithCells="1">
                  <from>
                    <xdr:col>37</xdr:col>
                    <xdr:colOff>114300</xdr:colOff>
                    <xdr:row>1</xdr:row>
                    <xdr:rowOff>38100</xdr:rowOff>
                  </from>
                  <to>
                    <xdr:col>37</xdr:col>
                    <xdr:colOff>266700</xdr:colOff>
                    <xdr:row>1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tableParts count="12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TM16410228</Template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Roční kalendář svozu</vt:lpstr>
      <vt:lpstr>'Roční kalendář svozu'!Oblast_tisku</vt:lpstr>
      <vt:lpstr>RokKalendáře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2022-01-03T23:06:45Z</dcterms:created>
  <dcterms:modified xsi:type="dcterms:W3CDTF">2025-01-06T07:57:24Z</dcterms:modified>
</cp:coreProperties>
</file>